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mbeddings/oleObject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3" documentId="11_C93D848800FDA0F165213E9A12C51BF636D3C802" xr6:coauthVersionLast="47" xr6:coauthVersionMax="47" xr10:uidLastSave="{8B6EBF5B-8909-453E-A871-2BEEC0275F86}"/>
  <bookViews>
    <workbookView xWindow="240" yWindow="105" windowWidth="14805" windowHeight="801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52" i="1" l="1"/>
  <c r="D50" i="1" s="1"/>
  <c r="D51" i="1"/>
  <c r="D49" i="1"/>
  <c r="D56" i="1" s="1"/>
  <c r="D53" i="1" l="1"/>
  <c r="D54" i="1"/>
  <c r="D26" i="1"/>
  <c r="D28" i="1" s="1"/>
  <c r="B61" i="1"/>
  <c r="C61" i="1" s="1"/>
  <c r="D61" i="1" s="1"/>
  <c r="B62" i="1"/>
  <c r="C62" i="1" s="1"/>
  <c r="D62" i="1" s="1"/>
  <c r="B63" i="1"/>
  <c r="C63" i="1" s="1"/>
  <c r="D63" i="1" s="1"/>
  <c r="B64" i="1"/>
  <c r="C64" i="1" s="1"/>
  <c r="D64" i="1" s="1"/>
  <c r="B65" i="1"/>
  <c r="C65" i="1" s="1"/>
  <c r="D65" i="1" s="1"/>
  <c r="B66" i="1"/>
  <c r="C66" i="1" s="1"/>
  <c r="D66" i="1" s="1"/>
  <c r="B67" i="1"/>
  <c r="C67" i="1" s="1"/>
  <c r="D67" i="1" s="1"/>
  <c r="B68" i="1"/>
  <c r="C68" i="1" s="1"/>
  <c r="D68" i="1" s="1"/>
  <c r="B69" i="1"/>
  <c r="C69" i="1" s="1"/>
  <c r="D69" i="1" s="1"/>
  <c r="B70" i="1"/>
  <c r="C70" i="1" s="1"/>
  <c r="D70" i="1" s="1"/>
  <c r="B71" i="1"/>
  <c r="C71" i="1" s="1"/>
  <c r="D71" i="1" s="1"/>
  <c r="B72" i="1"/>
  <c r="C72" i="1" s="1"/>
  <c r="D72" i="1" s="1"/>
  <c r="B73" i="1"/>
  <c r="C73" i="1" s="1"/>
  <c r="D73" i="1" s="1"/>
  <c r="B74" i="1"/>
  <c r="C74" i="1" s="1"/>
  <c r="D74" i="1" s="1"/>
  <c r="B75" i="1"/>
  <c r="C75" i="1" s="1"/>
  <c r="D75" i="1" s="1"/>
  <c r="B76" i="1"/>
  <c r="C76" i="1" s="1"/>
  <c r="D76" i="1" s="1"/>
  <c r="B77" i="1"/>
  <c r="C77" i="1" s="1"/>
  <c r="D77" i="1" s="1"/>
  <c r="B78" i="1"/>
  <c r="C78" i="1" s="1"/>
  <c r="D78" i="1" s="1"/>
  <c r="B79" i="1"/>
  <c r="C79" i="1" s="1"/>
  <c r="D79" i="1" s="1"/>
  <c r="B80" i="1"/>
  <c r="C80" i="1" s="1"/>
  <c r="D80" i="1" s="1"/>
  <c r="B81" i="1"/>
  <c r="C81" i="1" s="1"/>
  <c r="D81" i="1" s="1"/>
  <c r="B82" i="1"/>
  <c r="C82" i="1" s="1"/>
  <c r="D82" i="1" s="1"/>
  <c r="B83" i="1"/>
  <c r="C83" i="1" s="1"/>
  <c r="D83" i="1" s="1"/>
  <c r="B84" i="1"/>
  <c r="C84" i="1" s="1"/>
  <c r="D84" i="1" s="1"/>
  <c r="B85" i="1"/>
  <c r="C85" i="1" s="1"/>
  <c r="D85" i="1" s="1"/>
  <c r="B86" i="1"/>
  <c r="C86" i="1" s="1"/>
  <c r="D86" i="1" s="1"/>
  <c r="B87" i="1"/>
  <c r="C87" i="1" s="1"/>
  <c r="D87" i="1" s="1"/>
  <c r="B88" i="1"/>
  <c r="C88" i="1" s="1"/>
  <c r="D88" i="1" s="1"/>
  <c r="B89" i="1"/>
  <c r="C89" i="1" s="1"/>
  <c r="D89" i="1" s="1"/>
  <c r="B90" i="1"/>
  <c r="C90" i="1" s="1"/>
  <c r="D90" i="1" s="1"/>
  <c r="B91" i="1"/>
  <c r="C91" i="1" s="1"/>
  <c r="D91" i="1" s="1"/>
  <c r="B92" i="1"/>
  <c r="C92" i="1" s="1"/>
  <c r="D92" i="1" s="1"/>
  <c r="B93" i="1"/>
  <c r="C93" i="1" s="1"/>
  <c r="D93" i="1" s="1"/>
  <c r="B94" i="1"/>
  <c r="C94" i="1" s="1"/>
  <c r="D94" i="1" s="1"/>
  <c r="B95" i="1"/>
  <c r="C95" i="1" s="1"/>
  <c r="D95" i="1" s="1"/>
  <c r="B96" i="1"/>
  <c r="C96" i="1" s="1"/>
  <c r="D96" i="1" s="1"/>
  <c r="B97" i="1"/>
  <c r="C97" i="1" s="1"/>
  <c r="D97" i="1" s="1"/>
  <c r="B98" i="1"/>
  <c r="C98" i="1" s="1"/>
  <c r="D98" i="1" s="1"/>
  <c r="B99" i="1"/>
  <c r="C99" i="1" s="1"/>
  <c r="D99" i="1" s="1"/>
  <c r="B100" i="1"/>
  <c r="C100" i="1" s="1"/>
  <c r="D100" i="1" s="1"/>
  <c r="B60" i="1"/>
  <c r="C60" i="1" s="1"/>
  <c r="D60" i="1" s="1"/>
  <c r="H99" i="1" l="1"/>
  <c r="I99" i="1" s="1"/>
  <c r="E99" i="1"/>
  <c r="H87" i="1"/>
  <c r="I87" i="1" s="1"/>
  <c r="E87" i="1"/>
  <c r="H71" i="1"/>
  <c r="I71" i="1" s="1"/>
  <c r="E71" i="1"/>
  <c r="H91" i="1"/>
  <c r="I91" i="1" s="1"/>
  <c r="E91" i="1"/>
  <c r="H83" i="1"/>
  <c r="I83" i="1" s="1"/>
  <c r="E83" i="1"/>
  <c r="H75" i="1"/>
  <c r="I75" i="1" s="1"/>
  <c r="E75" i="1"/>
  <c r="H67" i="1"/>
  <c r="I67" i="1" s="1"/>
  <c r="E67" i="1"/>
  <c r="E94" i="1"/>
  <c r="H94" i="1"/>
  <c r="I94" i="1" s="1"/>
  <c r="E90" i="1"/>
  <c r="H90" i="1"/>
  <c r="I90" i="1" s="1"/>
  <c r="E86" i="1"/>
  <c r="H86" i="1"/>
  <c r="I86" i="1" s="1"/>
  <c r="E82" i="1"/>
  <c r="H82" i="1"/>
  <c r="I82" i="1" s="1"/>
  <c r="E78" i="1"/>
  <c r="H78" i="1"/>
  <c r="I78" i="1" s="1"/>
  <c r="E74" i="1"/>
  <c r="H74" i="1"/>
  <c r="I74" i="1" s="1"/>
  <c r="E70" i="1"/>
  <c r="H70" i="1"/>
  <c r="I70" i="1" s="1"/>
  <c r="E66" i="1"/>
  <c r="H66" i="1"/>
  <c r="I66" i="1" s="1"/>
  <c r="E62" i="1"/>
  <c r="H62" i="1"/>
  <c r="I62" i="1" s="1"/>
  <c r="H97" i="1"/>
  <c r="I97" i="1" s="1"/>
  <c r="E97" i="1"/>
  <c r="H89" i="1"/>
  <c r="I89" i="1" s="1"/>
  <c r="E89" i="1"/>
  <c r="H81" i="1"/>
  <c r="I81" i="1" s="1"/>
  <c r="E81" i="1"/>
  <c r="H73" i="1"/>
  <c r="I73" i="1" s="1"/>
  <c r="E73" i="1"/>
  <c r="H65" i="1"/>
  <c r="I65" i="1" s="1"/>
  <c r="E65" i="1"/>
  <c r="H95" i="1"/>
  <c r="I95" i="1" s="1"/>
  <c r="E95" i="1"/>
  <c r="H79" i="1"/>
  <c r="I79" i="1" s="1"/>
  <c r="E79" i="1"/>
  <c r="H63" i="1"/>
  <c r="I63" i="1" s="1"/>
  <c r="E63" i="1"/>
  <c r="H100" i="1"/>
  <c r="J100" i="1" s="1"/>
  <c r="E100" i="1"/>
  <c r="H96" i="1"/>
  <c r="J96" i="1" s="1"/>
  <c r="E96" i="1"/>
  <c r="H92" i="1"/>
  <c r="J92" i="1" s="1"/>
  <c r="E92" i="1"/>
  <c r="H88" i="1"/>
  <c r="J88" i="1" s="1"/>
  <c r="E88" i="1"/>
  <c r="H84" i="1"/>
  <c r="J84" i="1" s="1"/>
  <c r="E84" i="1"/>
  <c r="H72" i="1"/>
  <c r="J72" i="1" s="1"/>
  <c r="E72" i="1"/>
  <c r="H64" i="1"/>
  <c r="J64" i="1" s="1"/>
  <c r="E64" i="1"/>
  <c r="H60" i="1"/>
  <c r="I60" i="1" s="1"/>
  <c r="E60" i="1"/>
  <c r="F60" i="1" s="1"/>
  <c r="H93" i="1"/>
  <c r="I93" i="1" s="1"/>
  <c r="E93" i="1"/>
  <c r="H77" i="1"/>
  <c r="I77" i="1" s="1"/>
  <c r="E77" i="1"/>
  <c r="H69" i="1"/>
  <c r="I69" i="1" s="1"/>
  <c r="E69" i="1"/>
  <c r="H61" i="1"/>
  <c r="I61" i="1" s="1"/>
  <c r="E61" i="1"/>
  <c r="G61" i="1" s="1"/>
  <c r="E98" i="1"/>
  <c r="H98" i="1"/>
  <c r="I98" i="1" s="1"/>
  <c r="H80" i="1"/>
  <c r="J80" i="1" s="1"/>
  <c r="E80" i="1"/>
  <c r="H76" i="1"/>
  <c r="J76" i="1" s="1"/>
  <c r="E76" i="1"/>
  <c r="H68" i="1"/>
  <c r="J68" i="1" s="1"/>
  <c r="E68" i="1"/>
  <c r="H85" i="1"/>
  <c r="I85" i="1" s="1"/>
  <c r="E85" i="1"/>
  <c r="J67" i="1"/>
  <c r="J71" i="1" l="1"/>
  <c r="I92" i="1"/>
  <c r="J83" i="1"/>
  <c r="J81" i="1"/>
  <c r="J99" i="1"/>
  <c r="J79" i="1"/>
  <c r="J97" i="1"/>
  <c r="J65" i="1"/>
  <c r="J61" i="1"/>
  <c r="L61" i="1" s="1"/>
  <c r="I84" i="1"/>
  <c r="J95" i="1"/>
  <c r="J93" i="1"/>
  <c r="I100" i="1"/>
  <c r="J82" i="1"/>
  <c r="J90" i="1"/>
  <c r="J85" i="1"/>
  <c r="I64" i="1"/>
  <c r="J70" i="1"/>
  <c r="J66" i="1"/>
  <c r="J86" i="1"/>
  <c r="J74" i="1"/>
  <c r="J98" i="1"/>
  <c r="I68" i="1"/>
  <c r="F61" i="1"/>
  <c r="K61" i="1" s="1"/>
  <c r="J62" i="1"/>
  <c r="J78" i="1"/>
  <c r="J94" i="1"/>
  <c r="J69" i="1"/>
  <c r="I76" i="1"/>
  <c r="K60" i="1"/>
  <c r="J63" i="1"/>
  <c r="J77" i="1"/>
  <c r="G70" i="1"/>
  <c r="F70" i="1"/>
  <c r="K70" i="1" s="1"/>
  <c r="G94" i="1"/>
  <c r="F94" i="1"/>
  <c r="K94" i="1" s="1"/>
  <c r="J75" i="1"/>
  <c r="J91" i="1"/>
  <c r="J73" i="1"/>
  <c r="J89" i="1"/>
  <c r="I80" i="1"/>
  <c r="I96" i="1"/>
  <c r="F68" i="1"/>
  <c r="G68" i="1"/>
  <c r="L68" i="1" s="1"/>
  <c r="F80" i="1"/>
  <c r="G80" i="1"/>
  <c r="L80" i="1" s="1"/>
  <c r="F77" i="1"/>
  <c r="K77" i="1" s="1"/>
  <c r="G77" i="1"/>
  <c r="F72" i="1"/>
  <c r="G72" i="1"/>
  <c r="L72" i="1" s="1"/>
  <c r="G88" i="1"/>
  <c r="L88" i="1" s="1"/>
  <c r="F88" i="1"/>
  <c r="G96" i="1"/>
  <c r="L96" i="1" s="1"/>
  <c r="F96" i="1"/>
  <c r="F63" i="1"/>
  <c r="K63" i="1" s="1"/>
  <c r="G63" i="1"/>
  <c r="F95" i="1"/>
  <c r="K95" i="1" s="1"/>
  <c r="G95" i="1"/>
  <c r="F73" i="1"/>
  <c r="K73" i="1" s="1"/>
  <c r="G73" i="1"/>
  <c r="F89" i="1"/>
  <c r="K89" i="1" s="1"/>
  <c r="G89" i="1"/>
  <c r="F75" i="1"/>
  <c r="K75" i="1" s="1"/>
  <c r="G75" i="1"/>
  <c r="F91" i="1"/>
  <c r="G91" i="1"/>
  <c r="F87" i="1"/>
  <c r="K87" i="1" s="1"/>
  <c r="G87" i="1"/>
  <c r="G62" i="1"/>
  <c r="L62" i="1" s="1"/>
  <c r="F62" i="1"/>
  <c r="K62" i="1" s="1"/>
  <c r="G86" i="1"/>
  <c r="F86" i="1"/>
  <c r="K86" i="1" s="1"/>
  <c r="K91" i="1"/>
  <c r="F79" i="1"/>
  <c r="K79" i="1" s="1"/>
  <c r="G79" i="1"/>
  <c r="F65" i="1"/>
  <c r="K65" i="1" s="1"/>
  <c r="G65" i="1"/>
  <c r="F81" i="1"/>
  <c r="K81" i="1" s="1"/>
  <c r="G81" i="1"/>
  <c r="F97" i="1"/>
  <c r="K97" i="1" s="1"/>
  <c r="G97" i="1"/>
  <c r="F67" i="1"/>
  <c r="K67" i="1" s="1"/>
  <c r="G67" i="1"/>
  <c r="L67" i="1" s="1"/>
  <c r="F83" i="1"/>
  <c r="K83" i="1" s="1"/>
  <c r="G83" i="1"/>
  <c r="F71" i="1"/>
  <c r="K71" i="1" s="1"/>
  <c r="G71" i="1"/>
  <c r="F99" i="1"/>
  <c r="K99" i="1" s="1"/>
  <c r="G99" i="1"/>
  <c r="L99" i="1" s="1"/>
  <c r="G78" i="1"/>
  <c r="L78" i="1" s="1"/>
  <c r="F78" i="1"/>
  <c r="K78" i="1" s="1"/>
  <c r="I72" i="1"/>
  <c r="I88" i="1"/>
  <c r="F85" i="1"/>
  <c r="K85" i="1" s="1"/>
  <c r="G85" i="1"/>
  <c r="F76" i="1"/>
  <c r="G76" i="1"/>
  <c r="F69" i="1"/>
  <c r="K69" i="1" s="1"/>
  <c r="G69" i="1"/>
  <c r="F93" i="1"/>
  <c r="K93" i="1" s="1"/>
  <c r="G93" i="1"/>
  <c r="F64" i="1"/>
  <c r="G64" i="1"/>
  <c r="L64" i="1" s="1"/>
  <c r="G84" i="1"/>
  <c r="L84" i="1" s="1"/>
  <c r="F84" i="1"/>
  <c r="G92" i="1"/>
  <c r="L92" i="1" s="1"/>
  <c r="F92" i="1"/>
  <c r="G100" i="1"/>
  <c r="L100" i="1" s="1"/>
  <c r="F100" i="1"/>
  <c r="K100" i="1" s="1"/>
  <c r="G60" i="1"/>
  <c r="J87" i="1"/>
  <c r="J60" i="1"/>
  <c r="L76" i="1"/>
  <c r="G98" i="1"/>
  <c r="F98" i="1"/>
  <c r="K98" i="1" s="1"/>
  <c r="G66" i="1"/>
  <c r="F66" i="1"/>
  <c r="K66" i="1" s="1"/>
  <c r="G74" i="1"/>
  <c r="F74" i="1"/>
  <c r="K74" i="1" s="1"/>
  <c r="G82" i="1"/>
  <c r="F82" i="1"/>
  <c r="K82" i="1" s="1"/>
  <c r="G90" i="1"/>
  <c r="F90" i="1"/>
  <c r="K90" i="1" s="1"/>
  <c r="D27" i="1"/>
  <c r="L98" i="1" l="1"/>
  <c r="L71" i="1"/>
  <c r="K92" i="1"/>
  <c r="K68" i="1"/>
  <c r="L83" i="1"/>
  <c r="L81" i="1"/>
  <c r="L79" i="1"/>
  <c r="L97" i="1"/>
  <c r="L65" i="1"/>
  <c r="L95" i="1"/>
  <c r="K84" i="1"/>
  <c r="L93" i="1"/>
  <c r="L90" i="1"/>
  <c r="K64" i="1"/>
  <c r="L66" i="1"/>
  <c r="L70" i="1"/>
  <c r="L82" i="1"/>
  <c r="K76" i="1"/>
  <c r="L85" i="1"/>
  <c r="L74" i="1"/>
  <c r="K88" i="1"/>
  <c r="L69" i="1"/>
  <c r="L94" i="1"/>
  <c r="L86" i="1"/>
  <c r="L63" i="1"/>
  <c r="L60" i="1"/>
  <c r="L87" i="1"/>
  <c r="L77" i="1"/>
  <c r="L89" i="1"/>
  <c r="K72" i="1"/>
  <c r="K96" i="1"/>
  <c r="L73" i="1"/>
  <c r="L91" i="1"/>
  <c r="K80" i="1"/>
  <c r="L75" i="1"/>
</calcChain>
</file>

<file path=xl/sharedStrings.xml><?xml version="1.0" encoding="utf-8"?>
<sst xmlns="http://schemas.openxmlformats.org/spreadsheetml/2006/main" count="73" uniqueCount="56">
  <si>
    <t>calculated value</t>
  </si>
  <si>
    <t>user input value</t>
  </si>
  <si>
    <t>suggested value</t>
  </si>
  <si>
    <t xml:space="preserve">Input Voltage </t>
  </si>
  <si>
    <t>V</t>
  </si>
  <si>
    <t>Ouput Voltage</t>
  </si>
  <si>
    <t>Load Current</t>
  </si>
  <si>
    <t>A</t>
  </si>
  <si>
    <t>Switching Frequency</t>
  </si>
  <si>
    <t>Hz</t>
  </si>
  <si>
    <t>Inductor Value</t>
  </si>
  <si>
    <t>H</t>
  </si>
  <si>
    <t>Inductor DCR</t>
  </si>
  <si>
    <t>Ω</t>
  </si>
  <si>
    <t>Output Capacitor</t>
  </si>
  <si>
    <t>F</t>
  </si>
  <si>
    <t>Output Capacitor ESR</t>
  </si>
  <si>
    <t>Output Capacitor ESL</t>
  </si>
  <si>
    <t>No of Output Capacitors</t>
  </si>
  <si>
    <t>Power Stage Calculation: Current and Voltage Ripple</t>
  </si>
  <si>
    <t>Inductor Current pk-pk Ripple</t>
  </si>
  <si>
    <t>Normally select the inductor to make the ripple current 20%~40% of load current;</t>
  </si>
  <si>
    <t>Output Voltage pk-pk Ripple</t>
  </si>
  <si>
    <t>Note: the ripple is calculated @ 2.2MHz, in auto CCM/DCM mode, the switching frequency varies with the load condition, so the output voltage ripple also changes;</t>
  </si>
  <si>
    <t>Inductor Peak Current</t>
  </si>
  <si>
    <t>Compensation and Bode Plot</t>
  </si>
  <si>
    <t>double pole location</t>
  </si>
  <si>
    <t>double pole location based on selection of output inductor and capacitor</t>
  </si>
  <si>
    <t>Expected bandwidth</t>
  </si>
  <si>
    <t>user select bandwidth for initial calculation</t>
  </si>
  <si>
    <t>R1</t>
  </si>
  <si>
    <t>user select value, here select  R1 4.02kΩ</t>
  </si>
  <si>
    <t>R2</t>
  </si>
  <si>
    <t>Use 6kohm</t>
  </si>
  <si>
    <t>R3</t>
  </si>
  <si>
    <t>Use 20ohm</t>
  </si>
  <si>
    <t>R4</t>
  </si>
  <si>
    <t>Use 4.02kohm</t>
  </si>
  <si>
    <t>C1</t>
  </si>
  <si>
    <t>Use 2.2nF</t>
  </si>
  <si>
    <t>C2</t>
  </si>
  <si>
    <t>C3</t>
  </si>
  <si>
    <t>Use 100pF and Note: if device works in auto CCM/DCM mode, select C3 between 56pF and 150pF for output capacitor from 20uF to 200uF, if devices works in FCCM mode, C3 can be lower.</t>
  </si>
  <si>
    <t>calculated output voltage</t>
  </si>
  <si>
    <t>Gvc-- compensation network; Gvd-- Buck converter; Go-- system loop</t>
  </si>
  <si>
    <t>Freq</t>
  </si>
  <si>
    <t>ω</t>
  </si>
  <si>
    <t>s=iω</t>
  </si>
  <si>
    <t>Gvd</t>
  </si>
  <si>
    <r>
      <t>Gvd LM(</t>
    </r>
    <r>
      <rPr>
        <sz val="11"/>
        <color theme="1"/>
        <rFont val="Calibri"/>
        <family val="2"/>
      </rPr>
      <t>ω)</t>
    </r>
  </si>
  <si>
    <t>Gvd Ф(ω)</t>
  </si>
  <si>
    <t>Gvc</t>
  </si>
  <si>
    <t>Gvc LM(ω)</t>
  </si>
  <si>
    <t>Gvc Ф(ω)</t>
  </si>
  <si>
    <t>Go LM(ω)</t>
  </si>
  <si>
    <t>Go Ф(ω)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</si>
</sst>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10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3F3F76"/>
      <name val="Calibri"/>
      <family val="2"/>
      <scheme val="minor"/>
    </font>
    <font>
      <sz val="18"/>
      <color theme="1"/>
      <name val="Times New Roman"/>
      <family val="1"/>
    </font>
    <font>
      <sz val="12"/>
      <color rgb="FF3F3F76"/>
      <name val="Times New Roman"/>
      <family val="1"/>
    </font>
    <font>
      <sz val="11"/>
      <color theme="1"/>
      <name val="Times New Roman"/>
      <family val="1"/>
    </font>
    <font>
      <i/>
      <sz val="11"/>
      <color rgb="FF7F7F7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6" borderId="1" applyNumberFormat="0" applyAlignment="0" applyProtection="0"/>
    <xf numFmtId="0" fontId="9" fillId="0" borderId="0" applyNumberFormat="0" applyFill="0" applyBorder="0" applyAlignment="0" applyProtection="0"/>
  </cellStyleXfs>
  <cellXfs count="21">
    <xf numFmtId="0" fontId="0" fillId="0" borderId="0" xfId="0"/>
    <xf numFmtId="0" fontId="1" fillId="3" borderId="0" xfId="0" applyFont="1" applyFill="1" applyAlignment="1" applyProtection="1">
      <alignment horizontal="center"/>
      <protection locked="0"/>
    </xf>
    <xf numFmtId="164" fontId="1" fillId="4" borderId="0" xfId="0" applyNumberFormat="1" applyFont="1" applyFill="1" applyAlignment="1" applyProtection="1">
      <alignment horizontal="center"/>
      <protection hidden="1"/>
    </xf>
    <xf numFmtId="0" fontId="2" fillId="0" borderId="0" xfId="0" applyFont="1"/>
    <xf numFmtId="11" fontId="1" fillId="3" borderId="0" xfId="0" applyNumberFormat="1" applyFont="1" applyFill="1" applyAlignment="1" applyProtection="1">
      <alignment horizontal="center"/>
      <protection locked="0"/>
    </xf>
    <xf numFmtId="0" fontId="3" fillId="0" borderId="0" xfId="0" applyFont="1"/>
    <xf numFmtId="11" fontId="3" fillId="2" borderId="0" xfId="0" applyNumberFormat="1" applyFont="1" applyFill="1"/>
    <xf numFmtId="0" fontId="3" fillId="2" borderId="0" xfId="0" applyFont="1" applyFill="1"/>
    <xf numFmtId="11" fontId="0" fillId="0" borderId="0" xfId="0" applyNumberFormat="1"/>
    <xf numFmtId="0" fontId="6" fillId="0" borderId="0" xfId="0" applyFont="1"/>
    <xf numFmtId="0" fontId="5" fillId="6" borderId="0" xfId="1" applyBorder="1" applyAlignment="1" applyProtection="1">
      <alignment horizontal="center"/>
      <protection locked="0"/>
    </xf>
    <xf numFmtId="0" fontId="7" fillId="6" borderId="0" xfId="1" applyFont="1" applyBorder="1" applyAlignment="1" applyProtection="1">
      <alignment horizontal="center"/>
      <protection locked="0"/>
    </xf>
    <xf numFmtId="0" fontId="8" fillId="0" borderId="0" xfId="0" applyFont="1"/>
    <xf numFmtId="0" fontId="0" fillId="0" borderId="0" xfId="0" applyAlignment="1">
      <alignment horizontal="center"/>
    </xf>
    <xf numFmtId="11" fontId="7" fillId="6" borderId="0" xfId="1" applyNumberFormat="1" applyFont="1" applyBorder="1" applyAlignment="1" applyProtection="1">
      <alignment horizontal="center"/>
    </xf>
    <xf numFmtId="0" fontId="7" fillId="6" borderId="0" xfId="1" applyNumberFormat="1" applyFont="1" applyBorder="1" applyAlignment="1" applyProtection="1">
      <alignment horizontal="center"/>
    </xf>
    <xf numFmtId="0" fontId="7" fillId="6" borderId="0" xfId="1" applyFont="1" applyBorder="1" applyAlignment="1" applyProtection="1">
      <alignment horizontal="center"/>
    </xf>
    <xf numFmtId="0" fontId="4" fillId="5" borderId="0" xfId="0" applyFont="1" applyFill="1" applyAlignment="1" applyProtection="1">
      <alignment horizontal="center" wrapText="1"/>
      <protection hidden="1"/>
    </xf>
    <xf numFmtId="0" fontId="0" fillId="5" borderId="0" xfId="0" applyFill="1" applyAlignment="1" applyProtection="1">
      <alignment horizontal="center" wrapText="1"/>
      <protection hidden="1"/>
    </xf>
    <xf numFmtId="0" fontId="9" fillId="0" borderId="0" xfId="2" applyAlignment="1"/>
    <xf numFmtId="0" fontId="0" fillId="0" borderId="0" xfId="0" applyAlignment="1"/>
  </cellXfs>
  <cellStyles count="3">
    <cellStyle name="Explanatory Text" xfId="2" builtinId="53"/>
    <cellStyle name="Input" xfId="1" builtinId="20"/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Gvd Gain</c:v>
          </c:tx>
          <c:marker>
            <c:symbol val="none"/>
          </c:marker>
          <c:xVal>
            <c:numRef>
              <c:f>Sheet1!$B$60:$B$100</c:f>
              <c:numCache>
                <c:formatCode>0.00E+00</c:formatCode>
                <c:ptCount val="41"/>
                <c:pt idx="0">
                  <c:v>100</c:v>
                </c:pt>
                <c:pt idx="1">
                  <c:v>125.89254117941677</c:v>
                </c:pt>
                <c:pt idx="2">
                  <c:v>158.48931924611153</c:v>
                </c:pt>
                <c:pt idx="3">
                  <c:v>199.52623149688802</c:v>
                </c:pt>
                <c:pt idx="4">
                  <c:v>251.18864315095806</c:v>
                </c:pt>
                <c:pt idx="5">
                  <c:v>316.22776601683825</c:v>
                </c:pt>
                <c:pt idx="6">
                  <c:v>398.10717055349761</c:v>
                </c:pt>
                <c:pt idx="7">
                  <c:v>501.18723362727269</c:v>
                </c:pt>
                <c:pt idx="8">
                  <c:v>630.95734448019323</c:v>
                </c:pt>
                <c:pt idx="9">
                  <c:v>794.32823472428208</c:v>
                </c:pt>
                <c:pt idx="10">
                  <c:v>1000</c:v>
                </c:pt>
                <c:pt idx="11">
                  <c:v>1258.925411794168</c:v>
                </c:pt>
                <c:pt idx="12">
                  <c:v>1584.8931924611156</c:v>
                </c:pt>
                <c:pt idx="13">
                  <c:v>1995.2623149688804</c:v>
                </c:pt>
                <c:pt idx="14">
                  <c:v>2511.8864315095811</c:v>
                </c:pt>
                <c:pt idx="15">
                  <c:v>3162.2776601683804</c:v>
                </c:pt>
                <c:pt idx="16">
                  <c:v>3981.0717055349769</c:v>
                </c:pt>
                <c:pt idx="17">
                  <c:v>5011.8723362727324</c:v>
                </c:pt>
                <c:pt idx="18">
                  <c:v>6309.5734448019384</c:v>
                </c:pt>
                <c:pt idx="19">
                  <c:v>7943.2823472428154</c:v>
                </c:pt>
                <c:pt idx="20">
                  <c:v>10000</c:v>
                </c:pt>
                <c:pt idx="21">
                  <c:v>12589.254117941671</c:v>
                </c:pt>
                <c:pt idx="22">
                  <c:v>15848.931924611146</c:v>
                </c:pt>
                <c:pt idx="23">
                  <c:v>19952.623149688792</c:v>
                </c:pt>
                <c:pt idx="24">
                  <c:v>25118.86431509586</c:v>
                </c:pt>
                <c:pt idx="25">
                  <c:v>31622.77660168384</c:v>
                </c:pt>
                <c:pt idx="26">
                  <c:v>39810.717055349742</c:v>
                </c:pt>
                <c:pt idx="27">
                  <c:v>50118.723362727294</c:v>
                </c:pt>
                <c:pt idx="28">
                  <c:v>63095.734448019342</c:v>
                </c:pt>
                <c:pt idx="29">
                  <c:v>79432.823472428237</c:v>
                </c:pt>
                <c:pt idx="30">
                  <c:v>100000</c:v>
                </c:pt>
                <c:pt idx="31">
                  <c:v>125892.54117941685</c:v>
                </c:pt>
                <c:pt idx="32">
                  <c:v>158489.31924611164</c:v>
                </c:pt>
                <c:pt idx="33">
                  <c:v>199526.23149688813</c:v>
                </c:pt>
                <c:pt idx="34">
                  <c:v>251188.64315095844</c:v>
                </c:pt>
                <c:pt idx="35">
                  <c:v>316227.7660168382</c:v>
                </c:pt>
                <c:pt idx="36">
                  <c:v>398107.17055349716</c:v>
                </c:pt>
                <c:pt idx="37">
                  <c:v>501187.23362727347</c:v>
                </c:pt>
                <c:pt idx="38">
                  <c:v>630957.34448019415</c:v>
                </c:pt>
                <c:pt idx="39">
                  <c:v>794328.23472428333</c:v>
                </c:pt>
                <c:pt idx="40">
                  <c:v>1000000</c:v>
                </c:pt>
              </c:numCache>
            </c:numRef>
          </c:xVal>
          <c:yVal>
            <c:numRef>
              <c:f>Sheet1!$F$60:$F$100</c:f>
              <c:numCache>
                <c:formatCode>0.00E+00</c:formatCode>
                <c:ptCount val="41"/>
                <c:pt idx="0">
                  <c:v>11.759924449942085</c:v>
                </c:pt>
                <c:pt idx="1">
                  <c:v>11.760024160054366</c:v>
                </c:pt>
                <c:pt idx="2">
                  <c:v>11.760182190708875</c:v>
                </c:pt>
                <c:pt idx="3">
                  <c:v>11.760432654367182</c:v>
                </c:pt>
                <c:pt idx="4">
                  <c:v>11.760829617411124</c:v>
                </c:pt>
                <c:pt idx="5">
                  <c:v>11.761458773733738</c:v>
                </c:pt>
                <c:pt idx="6">
                  <c:v>11.762455950179586</c:v>
                </c:pt>
                <c:pt idx="7">
                  <c:v>11.764036445832055</c:v>
                </c:pt>
                <c:pt idx="8">
                  <c:v>11.766541557050829</c:v>
                </c:pt>
                <c:pt idx="9">
                  <c:v>11.770512378199751</c:v>
                </c:pt>
                <c:pt idx="10">
                  <c:v>11.776806926285822</c:v>
                </c:pt>
                <c:pt idx="11">
                  <c:v>11.786786164119958</c:v>
                </c:pt>
                <c:pt idx="12">
                  <c:v>11.802609795736998</c:v>
                </c:pt>
                <c:pt idx="13">
                  <c:v>11.827707426815646</c:v>
                </c:pt>
                <c:pt idx="14">
                  <c:v>11.867530907417095</c:v>
                </c:pt>
                <c:pt idx="15">
                  <c:v>11.930759475355163</c:v>
                </c:pt>
                <c:pt idx="16">
                  <c:v>12.031236188561351</c:v>
                </c:pt>
                <c:pt idx="17">
                  <c:v>12.191078108016129</c:v>
                </c:pt>
                <c:pt idx="18">
                  <c:v>12.445589845561004</c:v>
                </c:pt>
                <c:pt idx="19">
                  <c:v>12.850401061156589</c:v>
                </c:pt>
                <c:pt idx="20">
                  <c:v>13.487673754350059</c:v>
                </c:pt>
                <c:pt idx="21">
                  <c:v>14.441069787707521</c:v>
                </c:pt>
                <c:pt idx="22">
                  <c:v>15.531526435076739</c:v>
                </c:pt>
                <c:pt idx="23">
                  <c:v>15.169580594175526</c:v>
                </c:pt>
                <c:pt idx="24">
                  <c:v>11.416762925528801</c:v>
                </c:pt>
                <c:pt idx="25">
                  <c:v>6.3167074220369814</c:v>
                </c:pt>
                <c:pt idx="26">
                  <c:v>1.3768811158363885</c:v>
                </c:pt>
                <c:pt idx="27">
                  <c:v>-3.2484476910713695</c:v>
                </c:pt>
                <c:pt idx="28">
                  <c:v>-7.644687759617522</c:v>
                </c:pt>
                <c:pt idx="29">
                  <c:v>-11.892727989466131</c:v>
                </c:pt>
                <c:pt idx="30">
                  <c:v>-16.046847357522214</c:v>
                </c:pt>
                <c:pt idx="31">
                  <c:v>-20.141102864667548</c:v>
                </c:pt>
                <c:pt idx="32">
                  <c:v>-24.196262861059488</c:v>
                </c:pt>
                <c:pt idx="33">
                  <c:v>-28.224439148072406</c:v>
                </c:pt>
                <c:pt idx="34">
                  <c:v>-32.231835871844858</c:v>
                </c:pt>
                <c:pt idx="35">
                  <c:v>-36.220186987591177</c:v>
                </c:pt>
                <c:pt idx="36">
                  <c:v>-40.187249154045752</c:v>
                </c:pt>
                <c:pt idx="37">
                  <c:v>-44.126549932797133</c:v>
                </c:pt>
                <c:pt idx="38">
                  <c:v>-48.026518886270665</c:v>
                </c:pt>
                <c:pt idx="39">
                  <c:v>-51.869192939198427</c:v>
                </c:pt>
                <c:pt idx="40">
                  <c:v>-55.628961305221523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86-4BE6-82B3-9687CCAB8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212800"/>
        <c:axId val="109214720"/>
      </c:scatterChart>
      <c:valAx>
        <c:axId val="109212800"/>
        <c:scaling>
          <c:logBase val="10"/>
          <c:orientation val="minMax"/>
          <c:max val="1000000"/>
          <c:min val="100"/>
        </c:scaling>
        <c:delete val="0"/>
        <c:axPos val="b"/>
        <c:majorGridlines/>
        <c:minorGridlines/>
        <c:numFmt formatCode="General" sourceLinked="0"/>
        <c:majorTickMark val="out"/>
        <c:minorTickMark val="none"/>
        <c:tickLblPos val="nextTo"/>
        <c:crossAx val="109214720"/>
        <c:crossesAt val="-60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0.86159733158355278"/>
                <c:y val="0.87868037328667314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kHz</a:t>
                  </a:r>
                </a:p>
              </c:rich>
            </c:tx>
          </c:dispUnitsLbl>
        </c:dispUnits>
      </c:valAx>
      <c:valAx>
        <c:axId val="109214720"/>
        <c:scaling>
          <c:orientation val="minMax"/>
          <c:max val="40"/>
          <c:min val="-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Magnitude (dB)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092128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Gvd Phase</c:v>
          </c:tx>
          <c:marker>
            <c:symbol val="none"/>
          </c:marker>
          <c:xVal>
            <c:numRef>
              <c:f>Sheet1!$B$60:$B$100</c:f>
              <c:numCache>
                <c:formatCode>0.00E+00</c:formatCode>
                <c:ptCount val="41"/>
                <c:pt idx="0">
                  <c:v>100</c:v>
                </c:pt>
                <c:pt idx="1">
                  <c:v>125.89254117941677</c:v>
                </c:pt>
                <c:pt idx="2">
                  <c:v>158.48931924611153</c:v>
                </c:pt>
                <c:pt idx="3">
                  <c:v>199.52623149688802</c:v>
                </c:pt>
                <c:pt idx="4">
                  <c:v>251.18864315095806</c:v>
                </c:pt>
                <c:pt idx="5">
                  <c:v>316.22776601683825</c:v>
                </c:pt>
                <c:pt idx="6">
                  <c:v>398.10717055349761</c:v>
                </c:pt>
                <c:pt idx="7">
                  <c:v>501.18723362727269</c:v>
                </c:pt>
                <c:pt idx="8">
                  <c:v>630.95734448019323</c:v>
                </c:pt>
                <c:pt idx="9">
                  <c:v>794.32823472428208</c:v>
                </c:pt>
                <c:pt idx="10">
                  <c:v>1000</c:v>
                </c:pt>
                <c:pt idx="11">
                  <c:v>1258.925411794168</c:v>
                </c:pt>
                <c:pt idx="12">
                  <c:v>1584.8931924611156</c:v>
                </c:pt>
                <c:pt idx="13">
                  <c:v>1995.2623149688804</c:v>
                </c:pt>
                <c:pt idx="14">
                  <c:v>2511.8864315095811</c:v>
                </c:pt>
                <c:pt idx="15">
                  <c:v>3162.2776601683804</c:v>
                </c:pt>
                <c:pt idx="16">
                  <c:v>3981.0717055349769</c:v>
                </c:pt>
                <c:pt idx="17">
                  <c:v>5011.8723362727324</c:v>
                </c:pt>
                <c:pt idx="18">
                  <c:v>6309.5734448019384</c:v>
                </c:pt>
                <c:pt idx="19">
                  <c:v>7943.2823472428154</c:v>
                </c:pt>
                <c:pt idx="20">
                  <c:v>10000</c:v>
                </c:pt>
                <c:pt idx="21">
                  <c:v>12589.254117941671</c:v>
                </c:pt>
                <c:pt idx="22">
                  <c:v>15848.931924611146</c:v>
                </c:pt>
                <c:pt idx="23">
                  <c:v>19952.623149688792</c:v>
                </c:pt>
                <c:pt idx="24">
                  <c:v>25118.86431509586</c:v>
                </c:pt>
                <c:pt idx="25">
                  <c:v>31622.77660168384</c:v>
                </c:pt>
                <c:pt idx="26">
                  <c:v>39810.717055349742</c:v>
                </c:pt>
                <c:pt idx="27">
                  <c:v>50118.723362727294</c:v>
                </c:pt>
                <c:pt idx="28">
                  <c:v>63095.734448019342</c:v>
                </c:pt>
                <c:pt idx="29">
                  <c:v>79432.823472428237</c:v>
                </c:pt>
                <c:pt idx="30">
                  <c:v>100000</c:v>
                </c:pt>
                <c:pt idx="31">
                  <c:v>125892.54117941685</c:v>
                </c:pt>
                <c:pt idx="32">
                  <c:v>158489.31924611164</c:v>
                </c:pt>
                <c:pt idx="33">
                  <c:v>199526.23149688813</c:v>
                </c:pt>
                <c:pt idx="34">
                  <c:v>251188.64315095844</c:v>
                </c:pt>
                <c:pt idx="35">
                  <c:v>316227.7660168382</c:v>
                </c:pt>
                <c:pt idx="36">
                  <c:v>398107.17055349716</c:v>
                </c:pt>
                <c:pt idx="37">
                  <c:v>501187.23362727347</c:v>
                </c:pt>
                <c:pt idx="38">
                  <c:v>630957.34448019415</c:v>
                </c:pt>
                <c:pt idx="39">
                  <c:v>794328.23472428333</c:v>
                </c:pt>
                <c:pt idx="40">
                  <c:v>1000000</c:v>
                </c:pt>
              </c:numCache>
            </c:numRef>
          </c:xVal>
          <c:yVal>
            <c:numRef>
              <c:f>Sheet1!$G$60:$G$100</c:f>
              <c:numCache>
                <c:formatCode>General</c:formatCode>
                <c:ptCount val="41"/>
                <c:pt idx="0">
                  <c:v>-0.19154025440580144</c:v>
                </c:pt>
                <c:pt idx="1">
                  <c:v>-0.24113796862547132</c:v>
                </c:pt>
                <c:pt idx="2">
                  <c:v>-0.3035808519908389</c:v>
                </c:pt>
                <c:pt idx="3">
                  <c:v>-0.38219789163249862</c:v>
                </c:pt>
                <c:pt idx="4">
                  <c:v>-0.48118306679431111</c:v>
                </c:pt>
                <c:pt idx="5">
                  <c:v>-0.60582233730322621</c:v>
                </c:pt>
                <c:pt idx="6">
                  <c:v>-0.76278241441242156</c:v>
                </c:pt>
                <c:pt idx="7">
                  <c:v>-0.96048031379603949</c:v>
                </c:pt>
                <c:pt idx="8">
                  <c:v>-1.209560615235447</c:v>
                </c:pt>
                <c:pt idx="9">
                  <c:v>-1.5235203574289482</c:v>
                </c:pt>
                <c:pt idx="10">
                  <c:v>-1.9195439859799814</c:v>
                </c:pt>
                <c:pt idx="11">
                  <c:v>-2.4196515436566552</c:v>
                </c:pt>
                <c:pt idx="12">
                  <c:v>-3.0523402738574421</c:v>
                </c:pt>
                <c:pt idx="13">
                  <c:v>-3.8550504605959945</c:v>
                </c:pt>
                <c:pt idx="14">
                  <c:v>-4.8780914386545886</c:v>
                </c:pt>
                <c:pt idx="15">
                  <c:v>-6.1913050022518075</c:v>
                </c:pt>
                <c:pt idx="16">
                  <c:v>-7.8961528182283693</c:v>
                </c:pt>
                <c:pt idx="17">
                  <c:v>-10.149191120242685</c:v>
                </c:pt>
                <c:pt idx="18">
                  <c:v>-13.21106796236543</c:v>
                </c:pt>
                <c:pt idx="19">
                  <c:v>-17.557284637406489</c:v>
                </c:pt>
                <c:pt idx="20">
                  <c:v>-24.151310782442994</c:v>
                </c:pt>
                <c:pt idx="21">
                  <c:v>-35.162145166264828</c:v>
                </c:pt>
                <c:pt idx="22">
                  <c:v>-55.523335520616037</c:v>
                </c:pt>
                <c:pt idx="23">
                  <c:v>-90.316149015560029</c:v>
                </c:pt>
                <c:pt idx="24">
                  <c:v>-124.601319100216</c:v>
                </c:pt>
                <c:pt idx="25">
                  <c:v>-144.36839317810666</c:v>
                </c:pt>
                <c:pt idx="26">
                  <c:v>-154.997359862358</c:v>
                </c:pt>
                <c:pt idx="27">
                  <c:v>-161.27451531334407</c:v>
                </c:pt>
                <c:pt idx="28">
                  <c:v>-165.28543167273961</c:v>
                </c:pt>
                <c:pt idx="29">
                  <c:v>-167.95028487370107</c:v>
                </c:pt>
                <c:pt idx="30">
                  <c:v>-169.71342383995878</c:v>
                </c:pt>
                <c:pt idx="31">
                  <c:v>-170.80538075582243</c:v>
                </c:pt>
                <c:pt idx="32">
                  <c:v>-171.34872496894727</c:v>
                </c:pt>
                <c:pt idx="33">
                  <c:v>-171.40419709438186</c:v>
                </c:pt>
                <c:pt idx="34">
                  <c:v>-170.99202664336985</c:v>
                </c:pt>
                <c:pt idx="35">
                  <c:v>-170.10225237166907</c:v>
                </c:pt>
                <c:pt idx="36">
                  <c:v>-168.70023562619588</c:v>
                </c:pt>
                <c:pt idx="37">
                  <c:v>-166.73082165489043</c:v>
                </c:pt>
                <c:pt idx="38">
                  <c:v>-164.12393555045543</c:v>
                </c:pt>
                <c:pt idx="39">
                  <c:v>-160.804703007043</c:v>
                </c:pt>
                <c:pt idx="40">
                  <c:v>-156.71158203804069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61-4F4E-A1FF-F2879E982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69408"/>
        <c:axId val="109971328"/>
      </c:scatterChart>
      <c:valAx>
        <c:axId val="109969408"/>
        <c:scaling>
          <c:logBase val="10"/>
          <c:orientation val="minMax"/>
          <c:max val="1000000"/>
          <c:min val="100"/>
        </c:scaling>
        <c:delete val="0"/>
        <c:axPos val="b"/>
        <c:majorGridlines/>
        <c:minorGridlines/>
        <c:numFmt formatCode="General" sourceLinked="0"/>
        <c:majorTickMark val="out"/>
        <c:minorTickMark val="none"/>
        <c:tickLblPos val="nextTo"/>
        <c:crossAx val="109971328"/>
        <c:crossesAt val="-180"/>
        <c:crossBetween val="midCat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kHz</a:t>
                  </a:r>
                </a:p>
              </c:rich>
            </c:tx>
          </c:dispUnitsLbl>
        </c:dispUnits>
      </c:valAx>
      <c:valAx>
        <c:axId val="109971328"/>
        <c:scaling>
          <c:orientation val="minMax"/>
          <c:max val="0"/>
          <c:min val="-1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Phase (deg)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0996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Gvc Gain</c:v>
          </c:tx>
          <c:marker>
            <c:symbol val="none"/>
          </c:marker>
          <c:xVal>
            <c:numRef>
              <c:f>Sheet1!$B$60:$B$100</c:f>
              <c:numCache>
                <c:formatCode>0.00E+00</c:formatCode>
                <c:ptCount val="41"/>
                <c:pt idx="0">
                  <c:v>100</c:v>
                </c:pt>
                <c:pt idx="1">
                  <c:v>125.89254117941677</c:v>
                </c:pt>
                <c:pt idx="2">
                  <c:v>158.48931924611153</c:v>
                </c:pt>
                <c:pt idx="3">
                  <c:v>199.52623149688802</c:v>
                </c:pt>
                <c:pt idx="4">
                  <c:v>251.18864315095806</c:v>
                </c:pt>
                <c:pt idx="5">
                  <c:v>316.22776601683825</c:v>
                </c:pt>
                <c:pt idx="6">
                  <c:v>398.10717055349761</c:v>
                </c:pt>
                <c:pt idx="7">
                  <c:v>501.18723362727269</c:v>
                </c:pt>
                <c:pt idx="8">
                  <c:v>630.95734448019323</c:v>
                </c:pt>
                <c:pt idx="9">
                  <c:v>794.32823472428208</c:v>
                </c:pt>
                <c:pt idx="10">
                  <c:v>1000</c:v>
                </c:pt>
                <c:pt idx="11">
                  <c:v>1258.925411794168</c:v>
                </c:pt>
                <c:pt idx="12">
                  <c:v>1584.8931924611156</c:v>
                </c:pt>
                <c:pt idx="13">
                  <c:v>1995.2623149688804</c:v>
                </c:pt>
                <c:pt idx="14">
                  <c:v>2511.8864315095811</c:v>
                </c:pt>
                <c:pt idx="15">
                  <c:v>3162.2776601683804</c:v>
                </c:pt>
                <c:pt idx="16">
                  <c:v>3981.0717055349769</c:v>
                </c:pt>
                <c:pt idx="17">
                  <c:v>5011.8723362727324</c:v>
                </c:pt>
                <c:pt idx="18">
                  <c:v>6309.5734448019384</c:v>
                </c:pt>
                <c:pt idx="19">
                  <c:v>7943.2823472428154</c:v>
                </c:pt>
                <c:pt idx="20">
                  <c:v>10000</c:v>
                </c:pt>
                <c:pt idx="21">
                  <c:v>12589.254117941671</c:v>
                </c:pt>
                <c:pt idx="22">
                  <c:v>15848.931924611146</c:v>
                </c:pt>
                <c:pt idx="23">
                  <c:v>19952.623149688792</c:v>
                </c:pt>
                <c:pt idx="24">
                  <c:v>25118.86431509586</c:v>
                </c:pt>
                <c:pt idx="25">
                  <c:v>31622.77660168384</c:v>
                </c:pt>
                <c:pt idx="26">
                  <c:v>39810.717055349742</c:v>
                </c:pt>
                <c:pt idx="27">
                  <c:v>50118.723362727294</c:v>
                </c:pt>
                <c:pt idx="28">
                  <c:v>63095.734448019342</c:v>
                </c:pt>
                <c:pt idx="29">
                  <c:v>79432.823472428237</c:v>
                </c:pt>
                <c:pt idx="30">
                  <c:v>100000</c:v>
                </c:pt>
                <c:pt idx="31">
                  <c:v>125892.54117941685</c:v>
                </c:pt>
                <c:pt idx="32">
                  <c:v>158489.31924611164</c:v>
                </c:pt>
                <c:pt idx="33">
                  <c:v>199526.23149688813</c:v>
                </c:pt>
                <c:pt idx="34">
                  <c:v>251188.64315095844</c:v>
                </c:pt>
                <c:pt idx="35">
                  <c:v>316227.7660168382</c:v>
                </c:pt>
                <c:pt idx="36">
                  <c:v>398107.17055349716</c:v>
                </c:pt>
                <c:pt idx="37">
                  <c:v>501187.23362727347</c:v>
                </c:pt>
                <c:pt idx="38">
                  <c:v>630957.34448019415</c:v>
                </c:pt>
                <c:pt idx="39">
                  <c:v>794328.23472428333</c:v>
                </c:pt>
                <c:pt idx="40">
                  <c:v>1000000</c:v>
                </c:pt>
              </c:numCache>
            </c:numRef>
          </c:xVal>
          <c:yVal>
            <c:numRef>
              <c:f>Sheet1!$I$60:$I$100</c:f>
              <c:numCache>
                <c:formatCode>General</c:formatCode>
                <c:ptCount val="41"/>
                <c:pt idx="0">
                  <c:v>43.679737724003871</c:v>
                </c:pt>
                <c:pt idx="1">
                  <c:v>41.679945804307479</c:v>
                </c:pt>
                <c:pt idx="2">
                  <c:v>39.680275579131759</c:v>
                </c:pt>
                <c:pt idx="3">
                  <c:v>37.680798211305429</c:v>
                </c:pt>
                <c:pt idx="4">
                  <c:v>35.681626462931419</c:v>
                </c:pt>
                <c:pt idx="5">
                  <c:v>33.682938991190632</c:v>
                </c:pt>
                <c:pt idx="6">
                  <c:v>31.685018801237291</c:v>
                </c:pt>
                <c:pt idx="7">
                  <c:v>29.688314056068311</c:v>
                </c:pt>
                <c:pt idx="8">
                  <c:v>27.693534118075156</c:v>
                </c:pt>
                <c:pt idx="9">
                  <c:v>25.701800924273911</c:v>
                </c:pt>
                <c:pt idx="10">
                  <c:v>23.714886799279157</c:v>
                </c:pt>
                <c:pt idx="11">
                  <c:v>21.735586127835603</c:v>
                </c:pt>
                <c:pt idx="12">
                  <c:v>19.768291425647117</c:v>
                </c:pt>
                <c:pt idx="13">
                  <c:v>17.819874349685264</c:v>
                </c:pt>
                <c:pt idx="14">
                  <c:v>15.9010040684031</c:v>
                </c:pt>
                <c:pt idx="15">
                  <c:v>14.028050311609626</c:v>
                </c:pt>
                <c:pt idx="16">
                  <c:v>12.225666105327807</c:v>
                </c:pt>
                <c:pt idx="17">
                  <c:v>10.529918096801552</c:v>
                </c:pt>
                <c:pt idx="18">
                  <c:v>8.9912563367438629</c:v>
                </c:pt>
                <c:pt idx="19">
                  <c:v>7.6755548001950071</c:v>
                </c:pt>
                <c:pt idx="20">
                  <c:v>6.6602187222086524</c:v>
                </c:pt>
                <c:pt idx="21">
                  <c:v>6.0223730880785356</c:v>
                </c:pt>
                <c:pt idx="22">
                  <c:v>5.8197010166247125</c:v>
                </c:pt>
                <c:pt idx="23">
                  <c:v>6.0714203843932788</c:v>
                </c:pt>
                <c:pt idx="24">
                  <c:v>6.7507615123700981</c:v>
                </c:pt>
                <c:pt idx="25">
                  <c:v>7.794093591686865</c:v>
                </c:pt>
                <c:pt idx="26">
                  <c:v>9.1201343389610816</c:v>
                </c:pt>
                <c:pt idx="27">
                  <c:v>10.647806317823088</c:v>
                </c:pt>
                <c:pt idx="28">
                  <c:v>12.306072469222283</c:v>
                </c:pt>
                <c:pt idx="29">
                  <c:v>14.035803728855926</c:v>
                </c:pt>
                <c:pt idx="30">
                  <c:v>15.786804628989895</c:v>
                </c:pt>
                <c:pt idx="31">
                  <c:v>17.513048708289165</c:v>
                </c:pt>
                <c:pt idx="32">
                  <c:v>19.168326102735911</c:v>
                </c:pt>
                <c:pt idx="33">
                  <c:v>20.70412177900748</c:v>
                </c:pt>
                <c:pt idx="34">
                  <c:v>22.071414573796847</c:v>
                </c:pt>
                <c:pt idx="35">
                  <c:v>23.227016007483083</c:v>
                </c:pt>
                <c:pt idx="36">
                  <c:v>24.142115663968426</c:v>
                </c:pt>
                <c:pt idx="37">
                  <c:v>24.807531988685668</c:v>
                </c:pt>
                <c:pt idx="38">
                  <c:v>25.230925108307293</c:v>
                </c:pt>
                <c:pt idx="39">
                  <c:v>25.426788123620984</c:v>
                </c:pt>
                <c:pt idx="40">
                  <c:v>25.405053324745253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FC-495A-A1AA-97F593413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008960"/>
        <c:axId val="110015232"/>
      </c:scatterChart>
      <c:valAx>
        <c:axId val="110008960"/>
        <c:scaling>
          <c:logBase val="10"/>
          <c:orientation val="minMax"/>
          <c:max val="1000000"/>
          <c:min val="100"/>
        </c:scaling>
        <c:delete val="0"/>
        <c:axPos val="b"/>
        <c:majorGridlines/>
        <c:minorGridlines/>
        <c:numFmt formatCode="General" sourceLinked="0"/>
        <c:majorTickMark val="out"/>
        <c:minorTickMark val="none"/>
        <c:tickLblPos val="nextTo"/>
        <c:crossAx val="110015232"/>
        <c:crosses val="autoZero"/>
        <c:crossBetween val="midCat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kHz</a:t>
                  </a:r>
                </a:p>
              </c:rich>
            </c:tx>
          </c:dispUnitsLbl>
        </c:dispUnits>
      </c:valAx>
      <c:valAx>
        <c:axId val="110015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Magnitude (dB)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0089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Gvc Phase</c:v>
          </c:tx>
          <c:marker>
            <c:symbol val="none"/>
          </c:marker>
          <c:xVal>
            <c:numRef>
              <c:f>Sheet1!$B$60:$B$100</c:f>
              <c:numCache>
                <c:formatCode>0.00E+00</c:formatCode>
                <c:ptCount val="41"/>
                <c:pt idx="0">
                  <c:v>100</c:v>
                </c:pt>
                <c:pt idx="1">
                  <c:v>125.89254117941677</c:v>
                </c:pt>
                <c:pt idx="2">
                  <c:v>158.48931924611153</c:v>
                </c:pt>
                <c:pt idx="3">
                  <c:v>199.52623149688802</c:v>
                </c:pt>
                <c:pt idx="4">
                  <c:v>251.18864315095806</c:v>
                </c:pt>
                <c:pt idx="5">
                  <c:v>316.22776601683825</c:v>
                </c:pt>
                <c:pt idx="6">
                  <c:v>398.10717055349761</c:v>
                </c:pt>
                <c:pt idx="7">
                  <c:v>501.18723362727269</c:v>
                </c:pt>
                <c:pt idx="8">
                  <c:v>630.95734448019323</c:v>
                </c:pt>
                <c:pt idx="9">
                  <c:v>794.32823472428208</c:v>
                </c:pt>
                <c:pt idx="10">
                  <c:v>1000</c:v>
                </c:pt>
                <c:pt idx="11">
                  <c:v>1258.925411794168</c:v>
                </c:pt>
                <c:pt idx="12">
                  <c:v>1584.8931924611156</c:v>
                </c:pt>
                <c:pt idx="13">
                  <c:v>1995.2623149688804</c:v>
                </c:pt>
                <c:pt idx="14">
                  <c:v>2511.8864315095811</c:v>
                </c:pt>
                <c:pt idx="15">
                  <c:v>3162.2776601683804</c:v>
                </c:pt>
                <c:pt idx="16">
                  <c:v>3981.0717055349769</c:v>
                </c:pt>
                <c:pt idx="17">
                  <c:v>5011.8723362727324</c:v>
                </c:pt>
                <c:pt idx="18">
                  <c:v>6309.5734448019384</c:v>
                </c:pt>
                <c:pt idx="19">
                  <c:v>7943.2823472428154</c:v>
                </c:pt>
                <c:pt idx="20">
                  <c:v>10000</c:v>
                </c:pt>
                <c:pt idx="21">
                  <c:v>12589.254117941671</c:v>
                </c:pt>
                <c:pt idx="22">
                  <c:v>15848.931924611146</c:v>
                </c:pt>
                <c:pt idx="23">
                  <c:v>19952.623149688792</c:v>
                </c:pt>
                <c:pt idx="24">
                  <c:v>25118.86431509586</c:v>
                </c:pt>
                <c:pt idx="25">
                  <c:v>31622.77660168384</c:v>
                </c:pt>
                <c:pt idx="26">
                  <c:v>39810.717055349742</c:v>
                </c:pt>
                <c:pt idx="27">
                  <c:v>50118.723362727294</c:v>
                </c:pt>
                <c:pt idx="28">
                  <c:v>63095.734448019342</c:v>
                </c:pt>
                <c:pt idx="29">
                  <c:v>79432.823472428237</c:v>
                </c:pt>
                <c:pt idx="30">
                  <c:v>100000</c:v>
                </c:pt>
                <c:pt idx="31">
                  <c:v>125892.54117941685</c:v>
                </c:pt>
                <c:pt idx="32">
                  <c:v>158489.31924611164</c:v>
                </c:pt>
                <c:pt idx="33">
                  <c:v>199526.23149688813</c:v>
                </c:pt>
                <c:pt idx="34">
                  <c:v>251188.64315095844</c:v>
                </c:pt>
                <c:pt idx="35">
                  <c:v>316227.7660168382</c:v>
                </c:pt>
                <c:pt idx="36">
                  <c:v>398107.17055349716</c:v>
                </c:pt>
                <c:pt idx="37">
                  <c:v>501187.23362727347</c:v>
                </c:pt>
                <c:pt idx="38">
                  <c:v>630957.34448019415</c:v>
                </c:pt>
                <c:pt idx="39">
                  <c:v>794328.23472428333</c:v>
                </c:pt>
                <c:pt idx="40">
                  <c:v>1000000</c:v>
                </c:pt>
              </c:numCache>
            </c:numRef>
          </c:xVal>
          <c:yVal>
            <c:numRef>
              <c:f>Sheet1!$J$60:$J$100</c:f>
              <c:numCache>
                <c:formatCode>General</c:formatCode>
                <c:ptCount val="41"/>
                <c:pt idx="0">
                  <c:v>-89.285421735049169</c:v>
                </c:pt>
                <c:pt idx="1">
                  <c:v>-89.100406647589054</c:v>
                </c:pt>
                <c:pt idx="2">
                  <c:v>-88.867493800940295</c:v>
                </c:pt>
                <c:pt idx="3">
                  <c:v>-88.574288560601289</c:v>
                </c:pt>
                <c:pt idx="4">
                  <c:v>-88.20519428154256</c:v>
                </c:pt>
                <c:pt idx="5">
                  <c:v>-87.740590461623057</c:v>
                </c:pt>
                <c:pt idx="6">
                  <c:v>-87.155805287112557</c:v>
                </c:pt>
                <c:pt idx="7">
                  <c:v>-86.419836462402458</c:v>
                </c:pt>
                <c:pt idx="8">
                  <c:v>-85.493769317209086</c:v>
                </c:pt>
                <c:pt idx="9">
                  <c:v>-84.328841903999134</c:v>
                </c:pt>
                <c:pt idx="10">
                  <c:v>-82.864121188205061</c:v>
                </c:pt>
                <c:pt idx="11">
                  <c:v>-81.023798652822848</c:v>
                </c:pt>
                <c:pt idx="12">
                  <c:v>-78.71421890609065</c:v>
                </c:pt>
                <c:pt idx="13">
                  <c:v>-75.820978751426225</c:v>
                </c:pt>
                <c:pt idx="14">
                  <c:v>-72.206875360254401</c:v>
                </c:pt>
                <c:pt idx="15">
                  <c:v>-67.712288605171068</c:v>
                </c:pt>
                <c:pt idx="16">
                  <c:v>-62.160912443127152</c:v>
                </c:pt>
                <c:pt idx="17">
                  <c:v>-55.375574748166493</c:v>
                </c:pt>
                <c:pt idx="18">
                  <c:v>-47.210422894411373</c:v>
                </c:pt>
                <c:pt idx="19">
                  <c:v>-37.604429672936952</c:v>
                </c:pt>
                <c:pt idx="20">
                  <c:v>-26.652108311800198</c:v>
                </c:pt>
                <c:pt idx="21">
                  <c:v>-14.667130333307449</c:v>
                </c:pt>
                <c:pt idx="22">
                  <c:v>-2.1931627141735879</c:v>
                </c:pt>
                <c:pt idx="23">
                  <c:v>10.076029623338785</c:v>
                </c:pt>
                <c:pt idx="24">
                  <c:v>21.449206184005522</c:v>
                </c:pt>
                <c:pt idx="25">
                  <c:v>31.384236891538041</c:v>
                </c:pt>
                <c:pt idx="26">
                  <c:v>39.555158139479943</c:v>
                </c:pt>
                <c:pt idx="27">
                  <c:v>45.831003261157875</c:v>
                </c:pt>
                <c:pt idx="28">
                  <c:v>50.208698435268907</c:v>
                </c:pt>
                <c:pt idx="29">
                  <c:v>52.744953238110547</c:v>
                </c:pt>
                <c:pt idx="30">
                  <c:v>53.510310510998174</c:v>
                </c:pt>
                <c:pt idx="31">
                  <c:v>52.570546646314455</c:v>
                </c:pt>
                <c:pt idx="32">
                  <c:v>49.993072272600685</c:v>
                </c:pt>
                <c:pt idx="33">
                  <c:v>45.872844310170571</c:v>
                </c:pt>
                <c:pt idx="34">
                  <c:v>40.366412226779119</c:v>
                </c:pt>
                <c:pt idx="35">
                  <c:v>33.712902144723621</c:v>
                </c:pt>
                <c:pt idx="36">
                  <c:v>26.217408617238874</c:v>
                </c:pt>
                <c:pt idx="37">
                  <c:v>18.191114696111381</c:v>
                </c:pt>
                <c:pt idx="38">
                  <c:v>9.8777591065165602</c:v>
                </c:pt>
                <c:pt idx="39">
                  <c:v>1.4123144310051732</c:v>
                </c:pt>
                <c:pt idx="40">
                  <c:v>-7.1645332401400923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E23-42D2-928E-E9ABA12C4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577152"/>
        <c:axId val="110579072"/>
      </c:scatterChart>
      <c:valAx>
        <c:axId val="110577152"/>
        <c:scaling>
          <c:logBase val="10"/>
          <c:orientation val="minMax"/>
          <c:max val="1000000"/>
          <c:min val="100"/>
        </c:scaling>
        <c:delete val="0"/>
        <c:axPos val="b"/>
        <c:majorGridlines/>
        <c:minorGridlines/>
        <c:numFmt formatCode="General" sourceLinked="0"/>
        <c:majorTickMark val="out"/>
        <c:minorTickMark val="none"/>
        <c:tickLblPos val="nextTo"/>
        <c:crossAx val="110579072"/>
        <c:crossesAt val="-100"/>
        <c:crossBetween val="midCat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kHz</a:t>
                  </a:r>
                </a:p>
              </c:rich>
            </c:tx>
          </c:dispUnitsLbl>
        </c:dispUnits>
      </c:valAx>
      <c:valAx>
        <c:axId val="110579072"/>
        <c:scaling>
          <c:orientation val="minMax"/>
          <c:max val="60"/>
          <c:min val="-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Phase</a:t>
                </a:r>
                <a:r>
                  <a:rPr lang="en-US" baseline="0"/>
                  <a:t> (deg)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05771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itchFamily="18" charset="0"/>
                <a:cs typeface="Times New Roman" pitchFamily="18" charset="0"/>
              </a:rPr>
              <a:t>System Loop Go Gain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System Loop Gain</c:v>
          </c:tx>
          <c:marker>
            <c:symbol val="none"/>
          </c:marker>
          <c:xVal>
            <c:numRef>
              <c:f>Sheet1!$B$60:$B$100</c:f>
              <c:numCache>
                <c:formatCode>0.00E+00</c:formatCode>
                <c:ptCount val="41"/>
                <c:pt idx="0">
                  <c:v>100</c:v>
                </c:pt>
                <c:pt idx="1">
                  <c:v>125.89254117941677</c:v>
                </c:pt>
                <c:pt idx="2">
                  <c:v>158.48931924611153</c:v>
                </c:pt>
                <c:pt idx="3">
                  <c:v>199.52623149688802</c:v>
                </c:pt>
                <c:pt idx="4">
                  <c:v>251.18864315095806</c:v>
                </c:pt>
                <c:pt idx="5">
                  <c:v>316.22776601683825</c:v>
                </c:pt>
                <c:pt idx="6">
                  <c:v>398.10717055349761</c:v>
                </c:pt>
                <c:pt idx="7">
                  <c:v>501.18723362727269</c:v>
                </c:pt>
                <c:pt idx="8">
                  <c:v>630.95734448019323</c:v>
                </c:pt>
                <c:pt idx="9">
                  <c:v>794.32823472428208</c:v>
                </c:pt>
                <c:pt idx="10">
                  <c:v>1000</c:v>
                </c:pt>
                <c:pt idx="11">
                  <c:v>1258.925411794168</c:v>
                </c:pt>
                <c:pt idx="12">
                  <c:v>1584.8931924611156</c:v>
                </c:pt>
                <c:pt idx="13">
                  <c:v>1995.2623149688804</c:v>
                </c:pt>
                <c:pt idx="14">
                  <c:v>2511.8864315095811</c:v>
                </c:pt>
                <c:pt idx="15">
                  <c:v>3162.2776601683804</c:v>
                </c:pt>
                <c:pt idx="16">
                  <c:v>3981.0717055349769</c:v>
                </c:pt>
                <c:pt idx="17">
                  <c:v>5011.8723362727324</c:v>
                </c:pt>
                <c:pt idx="18">
                  <c:v>6309.5734448019384</c:v>
                </c:pt>
                <c:pt idx="19">
                  <c:v>7943.2823472428154</c:v>
                </c:pt>
                <c:pt idx="20">
                  <c:v>10000</c:v>
                </c:pt>
                <c:pt idx="21">
                  <c:v>12589.254117941671</c:v>
                </c:pt>
                <c:pt idx="22">
                  <c:v>15848.931924611146</c:v>
                </c:pt>
                <c:pt idx="23">
                  <c:v>19952.623149688792</c:v>
                </c:pt>
                <c:pt idx="24">
                  <c:v>25118.86431509586</c:v>
                </c:pt>
                <c:pt idx="25">
                  <c:v>31622.77660168384</c:v>
                </c:pt>
                <c:pt idx="26">
                  <c:v>39810.717055349742</c:v>
                </c:pt>
                <c:pt idx="27">
                  <c:v>50118.723362727294</c:v>
                </c:pt>
                <c:pt idx="28">
                  <c:v>63095.734448019342</c:v>
                </c:pt>
                <c:pt idx="29">
                  <c:v>79432.823472428237</c:v>
                </c:pt>
                <c:pt idx="30">
                  <c:v>100000</c:v>
                </c:pt>
                <c:pt idx="31">
                  <c:v>125892.54117941685</c:v>
                </c:pt>
                <c:pt idx="32">
                  <c:v>158489.31924611164</c:v>
                </c:pt>
                <c:pt idx="33">
                  <c:v>199526.23149688813</c:v>
                </c:pt>
                <c:pt idx="34">
                  <c:v>251188.64315095844</c:v>
                </c:pt>
                <c:pt idx="35">
                  <c:v>316227.7660168382</c:v>
                </c:pt>
                <c:pt idx="36">
                  <c:v>398107.17055349716</c:v>
                </c:pt>
                <c:pt idx="37">
                  <c:v>501187.23362727347</c:v>
                </c:pt>
                <c:pt idx="38">
                  <c:v>630957.34448019415</c:v>
                </c:pt>
                <c:pt idx="39">
                  <c:v>794328.23472428333</c:v>
                </c:pt>
                <c:pt idx="40">
                  <c:v>1000000</c:v>
                </c:pt>
              </c:numCache>
            </c:numRef>
          </c:xVal>
          <c:yVal>
            <c:numRef>
              <c:f>Sheet1!$K$60:$K$100</c:f>
              <c:numCache>
                <c:formatCode>0.00E+00</c:formatCode>
                <c:ptCount val="41"/>
                <c:pt idx="0">
                  <c:v>55.439662173945955</c:v>
                </c:pt>
                <c:pt idx="1">
                  <c:v>53.439969964361843</c:v>
                </c:pt>
                <c:pt idx="2">
                  <c:v>51.440457769840634</c:v>
                </c:pt>
                <c:pt idx="3">
                  <c:v>49.441230865672608</c:v>
                </c:pt>
                <c:pt idx="4">
                  <c:v>47.442456080342545</c:v>
                </c:pt>
                <c:pt idx="5">
                  <c:v>45.444397764924368</c:v>
                </c:pt>
                <c:pt idx="6">
                  <c:v>43.447474751416877</c:v>
                </c:pt>
                <c:pt idx="7">
                  <c:v>41.452350501900369</c:v>
                </c:pt>
                <c:pt idx="8">
                  <c:v>39.460075675125985</c:v>
                </c:pt>
                <c:pt idx="9">
                  <c:v>37.472313302473665</c:v>
                </c:pt>
                <c:pt idx="10">
                  <c:v>35.491693725564978</c:v>
                </c:pt>
                <c:pt idx="11">
                  <c:v>33.522372291955563</c:v>
                </c:pt>
                <c:pt idx="12">
                  <c:v>31.570901221384116</c:v>
                </c:pt>
                <c:pt idx="13">
                  <c:v>29.64758177650091</c:v>
                </c:pt>
                <c:pt idx="14">
                  <c:v>27.768534975820195</c:v>
                </c:pt>
                <c:pt idx="15">
                  <c:v>25.958809786964789</c:v>
                </c:pt>
                <c:pt idx="16">
                  <c:v>24.256902293889159</c:v>
                </c:pt>
                <c:pt idx="17">
                  <c:v>22.720996204817681</c:v>
                </c:pt>
                <c:pt idx="18">
                  <c:v>21.436846182304869</c:v>
                </c:pt>
                <c:pt idx="19">
                  <c:v>20.525955861351598</c:v>
                </c:pt>
                <c:pt idx="20">
                  <c:v>20.14789247655871</c:v>
                </c:pt>
                <c:pt idx="21">
                  <c:v>20.463442875786058</c:v>
                </c:pt>
                <c:pt idx="22">
                  <c:v>21.351227451701451</c:v>
                </c:pt>
                <c:pt idx="23">
                  <c:v>21.241000978568806</c:v>
                </c:pt>
                <c:pt idx="24">
                  <c:v>18.167524437898898</c:v>
                </c:pt>
                <c:pt idx="25">
                  <c:v>14.110801013723847</c:v>
                </c:pt>
                <c:pt idx="26">
                  <c:v>10.49701545479747</c:v>
                </c:pt>
                <c:pt idx="27">
                  <c:v>7.3993586267517184</c:v>
                </c:pt>
                <c:pt idx="28">
                  <c:v>4.6613847096047607</c:v>
                </c:pt>
                <c:pt idx="29">
                  <c:v>2.1430757393897952</c:v>
                </c:pt>
                <c:pt idx="30">
                  <c:v>-0.26004272853231925</c:v>
                </c:pt>
                <c:pt idx="31">
                  <c:v>-2.6280541563783828</c:v>
                </c:pt>
                <c:pt idx="32">
                  <c:v>-5.0279367583235768</c:v>
                </c:pt>
                <c:pt idx="33">
                  <c:v>-7.5203173690649265</c:v>
                </c:pt>
                <c:pt idx="34">
                  <c:v>-10.160421298048011</c:v>
                </c:pt>
                <c:pt idx="35">
                  <c:v>-12.993170980108093</c:v>
                </c:pt>
                <c:pt idx="36">
                  <c:v>-16.045133490077326</c:v>
                </c:pt>
                <c:pt idx="37">
                  <c:v>-19.319017944111465</c:v>
                </c:pt>
                <c:pt idx="38">
                  <c:v>-22.795593777963372</c:v>
                </c:pt>
                <c:pt idx="39">
                  <c:v>-26.442404815577444</c:v>
                </c:pt>
                <c:pt idx="40">
                  <c:v>-30.22390798047627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C2-4D2D-BF51-F6493AF4F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605056"/>
        <c:axId val="110607360"/>
      </c:scatterChart>
      <c:valAx>
        <c:axId val="110605056"/>
        <c:scaling>
          <c:logBase val="10"/>
          <c:orientation val="minMax"/>
          <c:max val="1000000"/>
          <c:min val="1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Frequency (kHz)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10607360"/>
        <c:crossesAt val="-40"/>
        <c:crossBetween val="midCat"/>
        <c:dispUnits>
          <c:builtInUnit val="thousands"/>
        </c:dispUnits>
      </c:valAx>
      <c:valAx>
        <c:axId val="110607360"/>
        <c:scaling>
          <c:orientation val="minMax"/>
          <c:max val="60"/>
          <c:min val="-4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Magnitude (dB)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10605056"/>
        <c:crosses val="autoZero"/>
        <c:crossBetween val="midCat"/>
      </c:valAx>
      <c:spPr>
        <a:ln w="25400"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System Loop Go Phase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System Loop Phase</c:v>
          </c:tx>
          <c:marker>
            <c:symbol val="none"/>
          </c:marker>
          <c:xVal>
            <c:numRef>
              <c:f>Sheet1!$B$60:$B$100</c:f>
              <c:numCache>
                <c:formatCode>0.00E+00</c:formatCode>
                <c:ptCount val="41"/>
                <c:pt idx="0">
                  <c:v>100</c:v>
                </c:pt>
                <c:pt idx="1">
                  <c:v>125.89254117941677</c:v>
                </c:pt>
                <c:pt idx="2">
                  <c:v>158.48931924611153</c:v>
                </c:pt>
                <c:pt idx="3">
                  <c:v>199.52623149688802</c:v>
                </c:pt>
                <c:pt idx="4">
                  <c:v>251.18864315095806</c:v>
                </c:pt>
                <c:pt idx="5">
                  <c:v>316.22776601683825</c:v>
                </c:pt>
                <c:pt idx="6">
                  <c:v>398.10717055349761</c:v>
                </c:pt>
                <c:pt idx="7">
                  <c:v>501.18723362727269</c:v>
                </c:pt>
                <c:pt idx="8">
                  <c:v>630.95734448019323</c:v>
                </c:pt>
                <c:pt idx="9">
                  <c:v>794.32823472428208</c:v>
                </c:pt>
                <c:pt idx="10">
                  <c:v>1000</c:v>
                </c:pt>
                <c:pt idx="11">
                  <c:v>1258.925411794168</c:v>
                </c:pt>
                <c:pt idx="12">
                  <c:v>1584.8931924611156</c:v>
                </c:pt>
                <c:pt idx="13">
                  <c:v>1995.2623149688804</c:v>
                </c:pt>
                <c:pt idx="14">
                  <c:v>2511.8864315095811</c:v>
                </c:pt>
                <c:pt idx="15">
                  <c:v>3162.2776601683804</c:v>
                </c:pt>
                <c:pt idx="16">
                  <c:v>3981.0717055349769</c:v>
                </c:pt>
                <c:pt idx="17">
                  <c:v>5011.8723362727324</c:v>
                </c:pt>
                <c:pt idx="18">
                  <c:v>6309.5734448019384</c:v>
                </c:pt>
                <c:pt idx="19">
                  <c:v>7943.2823472428154</c:v>
                </c:pt>
                <c:pt idx="20">
                  <c:v>10000</c:v>
                </c:pt>
                <c:pt idx="21">
                  <c:v>12589.254117941671</c:v>
                </c:pt>
                <c:pt idx="22">
                  <c:v>15848.931924611146</c:v>
                </c:pt>
                <c:pt idx="23">
                  <c:v>19952.623149688792</c:v>
                </c:pt>
                <c:pt idx="24">
                  <c:v>25118.86431509586</c:v>
                </c:pt>
                <c:pt idx="25">
                  <c:v>31622.77660168384</c:v>
                </c:pt>
                <c:pt idx="26">
                  <c:v>39810.717055349742</c:v>
                </c:pt>
                <c:pt idx="27">
                  <c:v>50118.723362727294</c:v>
                </c:pt>
                <c:pt idx="28">
                  <c:v>63095.734448019342</c:v>
                </c:pt>
                <c:pt idx="29">
                  <c:v>79432.823472428237</c:v>
                </c:pt>
                <c:pt idx="30">
                  <c:v>100000</c:v>
                </c:pt>
                <c:pt idx="31">
                  <c:v>125892.54117941685</c:v>
                </c:pt>
                <c:pt idx="32">
                  <c:v>158489.31924611164</c:v>
                </c:pt>
                <c:pt idx="33">
                  <c:v>199526.23149688813</c:v>
                </c:pt>
                <c:pt idx="34">
                  <c:v>251188.64315095844</c:v>
                </c:pt>
                <c:pt idx="35">
                  <c:v>316227.7660168382</c:v>
                </c:pt>
                <c:pt idx="36">
                  <c:v>398107.17055349716</c:v>
                </c:pt>
                <c:pt idx="37">
                  <c:v>501187.23362727347</c:v>
                </c:pt>
                <c:pt idx="38">
                  <c:v>630957.34448019415</c:v>
                </c:pt>
                <c:pt idx="39">
                  <c:v>794328.23472428333</c:v>
                </c:pt>
                <c:pt idx="40">
                  <c:v>1000000</c:v>
                </c:pt>
              </c:numCache>
            </c:numRef>
          </c:xVal>
          <c:yVal>
            <c:numRef>
              <c:f>Sheet1!$L$60:$L$100</c:f>
              <c:numCache>
                <c:formatCode>General</c:formatCode>
                <c:ptCount val="41"/>
                <c:pt idx="0">
                  <c:v>-89.476961989454978</c:v>
                </c:pt>
                <c:pt idx="1">
                  <c:v>-89.34154461621452</c:v>
                </c:pt>
                <c:pt idx="2">
                  <c:v>-89.171074652931139</c:v>
                </c:pt>
                <c:pt idx="3">
                  <c:v>-88.95648645223379</c:v>
                </c:pt>
                <c:pt idx="4">
                  <c:v>-88.686377348336876</c:v>
                </c:pt>
                <c:pt idx="5">
                  <c:v>-88.346412798926281</c:v>
                </c:pt>
                <c:pt idx="6">
                  <c:v>-87.918587701524984</c:v>
                </c:pt>
                <c:pt idx="7">
                  <c:v>-87.380316776198498</c:v>
                </c:pt>
                <c:pt idx="8">
                  <c:v>-86.703329932444532</c:v>
                </c:pt>
                <c:pt idx="9">
                  <c:v>-85.852362261428084</c:v>
                </c:pt>
                <c:pt idx="10">
                  <c:v>-84.783665174185046</c:v>
                </c:pt>
                <c:pt idx="11">
                  <c:v>-83.443450196479503</c:v>
                </c:pt>
                <c:pt idx="12">
                  <c:v>-81.766559179948089</c:v>
                </c:pt>
                <c:pt idx="13">
                  <c:v>-79.676029212022215</c:v>
                </c:pt>
                <c:pt idx="14">
                  <c:v>-77.084966798908994</c:v>
                </c:pt>
                <c:pt idx="15">
                  <c:v>-73.903593607422877</c:v>
                </c:pt>
                <c:pt idx="16">
                  <c:v>-70.057065261355518</c:v>
                </c:pt>
                <c:pt idx="17">
                  <c:v>-65.524765868409176</c:v>
                </c:pt>
                <c:pt idx="18">
                  <c:v>-60.421490856776799</c:v>
                </c:pt>
                <c:pt idx="19">
                  <c:v>-55.161714310343442</c:v>
                </c:pt>
                <c:pt idx="20">
                  <c:v>-50.803419094243196</c:v>
                </c:pt>
                <c:pt idx="21">
                  <c:v>-49.829275499572276</c:v>
                </c:pt>
                <c:pt idx="22">
                  <c:v>-57.716498234789626</c:v>
                </c:pt>
                <c:pt idx="23">
                  <c:v>-80.240119392221246</c:v>
                </c:pt>
                <c:pt idx="24">
                  <c:v>-103.15211291621048</c:v>
                </c:pt>
                <c:pt idx="25">
                  <c:v>-112.98415628656862</c:v>
                </c:pt>
                <c:pt idx="26">
                  <c:v>-115.44220172287805</c:v>
                </c:pt>
                <c:pt idx="27">
                  <c:v>-115.44351205218619</c:v>
                </c:pt>
                <c:pt idx="28">
                  <c:v>-115.07673323747071</c:v>
                </c:pt>
                <c:pt idx="29">
                  <c:v>-115.20533163559051</c:v>
                </c:pt>
                <c:pt idx="30">
                  <c:v>-116.2031133289606</c:v>
                </c:pt>
                <c:pt idx="31">
                  <c:v>-118.23483410950797</c:v>
                </c:pt>
                <c:pt idx="32">
                  <c:v>-121.35565269634658</c:v>
                </c:pt>
                <c:pt idx="33">
                  <c:v>-125.53135278421129</c:v>
                </c:pt>
                <c:pt idx="34">
                  <c:v>-130.62561441659074</c:v>
                </c:pt>
                <c:pt idx="35">
                  <c:v>-136.38935022694545</c:v>
                </c:pt>
                <c:pt idx="36">
                  <c:v>-142.482827008957</c:v>
                </c:pt>
                <c:pt idx="37">
                  <c:v>-148.53970695877905</c:v>
                </c:pt>
                <c:pt idx="38">
                  <c:v>-154.24617644393888</c:v>
                </c:pt>
                <c:pt idx="39">
                  <c:v>-159.39238857603783</c:v>
                </c:pt>
                <c:pt idx="40">
                  <c:v>-163.87611527818078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EF-40AC-8C40-1083E07DC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65440"/>
        <c:axId val="111167744"/>
      </c:scatterChart>
      <c:valAx>
        <c:axId val="111165440"/>
        <c:scaling>
          <c:logBase val="10"/>
          <c:orientation val="minMax"/>
          <c:max val="1000000"/>
          <c:min val="1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Frequency (kHz)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11167744"/>
        <c:crossesAt val="-180"/>
        <c:crossBetween val="midCat"/>
        <c:dispUnits>
          <c:builtInUnit val="thousands"/>
        </c:dispUnits>
      </c:valAx>
      <c:valAx>
        <c:axId val="111167744"/>
        <c:scaling>
          <c:orientation val="minMax"/>
          <c:max val="0"/>
          <c:min val="-1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Phase (deg)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1165440"/>
        <c:crosses val="autoZero"/>
        <c:crossBetween val="midCat"/>
      </c:valAx>
      <c:spPr>
        <a:noFill/>
        <a:ln w="25400">
          <a:solidFill>
            <a:sysClr val="windowText" lastClr="000000"/>
          </a:solidFill>
        </a:ln>
      </c:spPr>
    </c:plotArea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58</xdr:row>
      <xdr:rowOff>9525</xdr:rowOff>
    </xdr:from>
    <xdr:to>
      <xdr:col>21</xdr:col>
      <xdr:colOff>304800</xdr:colOff>
      <xdr:row>72</xdr:row>
      <xdr:rowOff>85725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600075</xdr:colOff>
      <xdr:row>72</xdr:row>
      <xdr:rowOff>114300</xdr:rowOff>
    </xdr:from>
    <xdr:to>
      <xdr:col>21</xdr:col>
      <xdr:colOff>295275</xdr:colOff>
      <xdr:row>87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476250</xdr:colOff>
      <xdr:row>58</xdr:row>
      <xdr:rowOff>0</xdr:rowOff>
    </xdr:from>
    <xdr:to>
      <xdr:col>29</xdr:col>
      <xdr:colOff>171450</xdr:colOff>
      <xdr:row>72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457200</xdr:colOff>
      <xdr:row>72</xdr:row>
      <xdr:rowOff>123825</xdr:rowOff>
    </xdr:from>
    <xdr:to>
      <xdr:col>29</xdr:col>
      <xdr:colOff>152400</xdr:colOff>
      <xdr:row>87</xdr:row>
      <xdr:rowOff>9525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57</xdr:row>
      <xdr:rowOff>571501</xdr:rowOff>
    </xdr:from>
    <xdr:to>
      <xdr:col>12</xdr:col>
      <xdr:colOff>9525</xdr:colOff>
      <xdr:row>84</xdr:row>
      <xdr:rowOff>179295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84</xdr:row>
      <xdr:rowOff>190498</xdr:rowOff>
    </xdr:from>
    <xdr:to>
      <xdr:col>12</xdr:col>
      <xdr:colOff>9525</xdr:colOff>
      <xdr:row>112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22413</xdr:colOff>
      <xdr:row>0</xdr:row>
      <xdr:rowOff>33617</xdr:rowOff>
    </xdr:from>
    <xdr:to>
      <xdr:col>2</xdr:col>
      <xdr:colOff>324972</xdr:colOff>
      <xdr:row>5</xdr:row>
      <xdr:rowOff>605117</xdr:rowOff>
    </xdr:to>
    <xdr:pic>
      <xdr:nvPicPr>
        <xdr:cNvPr id="16" name="Picture 15" descr="on_logo_jpg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2413" y="33617"/>
          <a:ext cx="1524000" cy="1524000"/>
        </a:xfrm>
        <a:prstGeom prst="rect">
          <a:avLst/>
        </a:prstGeom>
      </xdr:spPr>
    </xdr:pic>
    <xdr:clientData/>
  </xdr:twoCellAnchor>
  <xdr:twoCellAnchor>
    <xdr:from>
      <xdr:col>2</xdr:col>
      <xdr:colOff>392206</xdr:colOff>
      <xdr:row>0</xdr:row>
      <xdr:rowOff>0</xdr:rowOff>
    </xdr:from>
    <xdr:to>
      <xdr:col>11</xdr:col>
      <xdr:colOff>11206</xdr:colOff>
      <xdr:row>6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613647" y="0"/>
          <a:ext cx="5423647" cy="1748118"/>
        </a:xfrm>
        <a:prstGeom prst="rect">
          <a:avLst/>
        </a:prstGeom>
        <a:solidFill>
          <a:srgbClr val="00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r>
            <a:rPr lang="en-US" sz="2400" b="1">
              <a:latin typeface="Times New Roman" pitchFamily="18" charset="0"/>
              <a:cs typeface="Times New Roman" pitchFamily="18" charset="0"/>
            </a:rPr>
            <a:t>NCP3135 Design Aid Version 1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9525</xdr:rowOff>
        </xdr:from>
        <xdr:to>
          <xdr:col>8</xdr:col>
          <xdr:colOff>628650</xdr:colOff>
          <xdr:row>44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14"/>
  <sheetViews>
    <sheetView tabSelected="1" topLeftCell="A22" zoomScale="85" zoomScaleNormal="85" workbookViewId="0">
      <selection activeCell="D14" sqref="D14"/>
    </sheetView>
  </sheetViews>
  <sheetFormatPr defaultRowHeight="15"/>
  <cols>
    <col min="2" max="2" width="9.28515625" bestFit="1" customWidth="1"/>
    <col min="3" max="3" width="9.85546875" customWidth="1"/>
    <col min="4" max="4" width="10.85546875" customWidth="1"/>
    <col min="5" max="5" width="10.28515625" customWidth="1"/>
    <col min="6" max="6" width="10.140625" customWidth="1"/>
    <col min="9" max="9" width="9.5703125" customWidth="1"/>
  </cols>
  <sheetData>
    <row r="2" spans="1:12" ht="1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2">
      <c r="A4" s="20"/>
      <c r="B4" s="20"/>
      <c r="C4" s="20"/>
      <c r="D4" s="20"/>
      <c r="E4" s="20"/>
      <c r="F4" s="20"/>
      <c r="G4" s="20"/>
      <c r="H4" s="20"/>
      <c r="I4" s="20"/>
      <c r="J4" s="20"/>
    </row>
    <row r="6" spans="1:12" ht="63" customHeight="1">
      <c r="L6" s="13"/>
    </row>
    <row r="7" spans="1:12" ht="15.75">
      <c r="B7" s="10"/>
      <c r="C7" s="5" t="s">
        <v>0</v>
      </c>
      <c r="D7" s="5"/>
    </row>
    <row r="8" spans="1:12" ht="15.75">
      <c r="B8" s="1"/>
      <c r="C8" s="5" t="s">
        <v>1</v>
      </c>
      <c r="D8" s="5"/>
    </row>
    <row r="9" spans="1:12" ht="15.75">
      <c r="B9" s="2"/>
      <c r="C9" s="5" t="s">
        <v>2</v>
      </c>
      <c r="D9" s="5"/>
    </row>
    <row r="11" spans="1:12" ht="15.75">
      <c r="A11" s="5" t="s">
        <v>3</v>
      </c>
      <c r="B11" s="5"/>
      <c r="C11" s="5"/>
      <c r="D11" s="1">
        <v>5</v>
      </c>
      <c r="E11" s="12" t="s">
        <v>4</v>
      </c>
    </row>
    <row r="12" spans="1:12" ht="15.75">
      <c r="A12" s="5" t="s">
        <v>5</v>
      </c>
      <c r="B12" s="5"/>
      <c r="C12" s="5"/>
      <c r="D12" s="1">
        <v>0.75</v>
      </c>
      <c r="E12" s="12" t="s">
        <v>4</v>
      </c>
    </row>
    <row r="13" spans="1:12" ht="15.75">
      <c r="A13" s="5" t="s">
        <v>6</v>
      </c>
      <c r="B13" s="5"/>
      <c r="C13" s="5"/>
      <c r="D13" s="1">
        <v>3.8</v>
      </c>
      <c r="E13" s="12" t="s">
        <v>7</v>
      </c>
    </row>
    <row r="14" spans="1:12" ht="15.75">
      <c r="A14" s="5" t="s">
        <v>8</v>
      </c>
      <c r="B14" s="5"/>
      <c r="C14" s="5"/>
      <c r="D14" s="4">
        <v>1100000</v>
      </c>
      <c r="E14" s="12" t="s">
        <v>9</v>
      </c>
    </row>
    <row r="15" spans="1:12" ht="15.75">
      <c r="A15" s="5" t="s">
        <v>10</v>
      </c>
      <c r="B15" s="5"/>
      <c r="C15" s="5"/>
      <c r="D15" s="6">
        <v>9.9999999999999995E-7</v>
      </c>
      <c r="E15" s="12" t="s">
        <v>11</v>
      </c>
    </row>
    <row r="16" spans="1:12" ht="15.75">
      <c r="A16" s="5" t="s">
        <v>12</v>
      </c>
      <c r="B16" s="5"/>
      <c r="C16" s="5"/>
      <c r="D16" s="6">
        <v>6.4999999999999997E-3</v>
      </c>
      <c r="E16" s="12" t="s">
        <v>13</v>
      </c>
    </row>
    <row r="17" spans="1:10" ht="15.75">
      <c r="A17" s="5" t="s">
        <v>14</v>
      </c>
      <c r="B17" s="5"/>
      <c r="C17" s="5"/>
      <c r="D17" s="6">
        <v>2.1999999999999999E-5</v>
      </c>
      <c r="E17" s="12" t="s">
        <v>15</v>
      </c>
    </row>
    <row r="18" spans="1:10" ht="15.75">
      <c r="A18" s="5" t="s">
        <v>16</v>
      </c>
      <c r="B18" s="5"/>
      <c r="C18" s="5"/>
      <c r="D18" s="6">
        <v>3.0000000000000001E-3</v>
      </c>
      <c r="E18" s="12" t="s">
        <v>13</v>
      </c>
    </row>
    <row r="19" spans="1:10" ht="15.75">
      <c r="A19" s="5" t="s">
        <v>17</v>
      </c>
      <c r="B19" s="5"/>
      <c r="C19" s="5"/>
      <c r="D19" s="6">
        <v>1E-10</v>
      </c>
      <c r="E19" s="12" t="s">
        <v>11</v>
      </c>
    </row>
    <row r="20" spans="1:10" ht="15.75">
      <c r="A20" s="5" t="s">
        <v>18</v>
      </c>
      <c r="B20" s="5"/>
      <c r="C20" s="5"/>
      <c r="D20" s="7">
        <v>3</v>
      </c>
    </row>
    <row r="22" spans="1:10" ht="15" customHeight="1">
      <c r="A22" s="17" t="s">
        <v>19</v>
      </c>
      <c r="B22" s="18"/>
      <c r="C22" s="18"/>
      <c r="D22" s="18"/>
      <c r="E22" s="18"/>
      <c r="F22" s="18"/>
      <c r="G22" s="18"/>
      <c r="H22" s="18"/>
      <c r="I22" s="18"/>
      <c r="J22" s="18"/>
    </row>
    <row r="23" spans="1:10" ht="18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ht="15" customHeight="1">
      <c r="A24" s="17"/>
      <c r="B24" s="18"/>
      <c r="C24" s="18"/>
      <c r="D24" s="18"/>
      <c r="E24" s="18"/>
      <c r="F24" s="18"/>
      <c r="G24" s="18"/>
      <c r="H24" s="18"/>
      <c r="I24" s="18"/>
      <c r="J24" s="18"/>
    </row>
    <row r="26" spans="1:10" ht="15.75">
      <c r="A26" s="5" t="s">
        <v>20</v>
      </c>
      <c r="B26" s="5"/>
      <c r="C26" s="5"/>
      <c r="D26" s="15">
        <f>($D$11-$D$12)*$D$12/$D$11/$D$14/$D$15</f>
        <v>0.57954545454545459</v>
      </c>
      <c r="E26" s="5" t="s">
        <v>7</v>
      </c>
      <c r="F26" s="5" t="s">
        <v>21</v>
      </c>
      <c r="G26" s="5"/>
    </row>
    <row r="27" spans="1:10" ht="15.75">
      <c r="A27" s="5" t="s">
        <v>22</v>
      </c>
      <c r="B27" s="5"/>
      <c r="C27" s="5"/>
      <c r="D27" s="11">
        <f>$D$26/($D$20*$D$17)/$D$14/8+$D$26*$D$18/$D$20</f>
        <v>1.5773854244928629E-3</v>
      </c>
      <c r="E27" s="5" t="s">
        <v>4</v>
      </c>
      <c r="F27" s="5" t="s">
        <v>23</v>
      </c>
      <c r="G27" s="5"/>
    </row>
    <row r="28" spans="1:10" ht="15.75">
      <c r="A28" s="5" t="s">
        <v>24</v>
      </c>
      <c r="B28" s="5"/>
      <c r="C28" s="5"/>
      <c r="D28" s="16">
        <f>$D$13+0.5*$D$26</f>
        <v>4.0897727272727273</v>
      </c>
      <c r="E28" s="5" t="s">
        <v>7</v>
      </c>
    </row>
    <row r="31" spans="1:10">
      <c r="A31" s="17" t="s">
        <v>25</v>
      </c>
      <c r="B31" s="18"/>
      <c r="C31" s="18"/>
      <c r="D31" s="18"/>
      <c r="E31" s="18"/>
      <c r="F31" s="18"/>
      <c r="G31" s="18"/>
      <c r="H31" s="18"/>
      <c r="I31" s="18"/>
      <c r="J31" s="18"/>
    </row>
    <row r="32" spans="1:10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spans="1:10">
      <c r="A33" s="20"/>
      <c r="B33" s="20"/>
      <c r="C33" s="20"/>
      <c r="D33" s="20"/>
      <c r="E33" s="20"/>
      <c r="F33" s="20"/>
      <c r="G33" s="20"/>
      <c r="H33" s="20"/>
      <c r="I33" s="20"/>
      <c r="J33" s="20"/>
    </row>
    <row r="46" spans="1:10" ht="15.75">
      <c r="A46" s="5" t="s">
        <v>26</v>
      </c>
      <c r="B46" s="5"/>
      <c r="D46" s="14">
        <f>1/2/PI()/SQRT($D$15*$D$20*$D$17)</f>
        <v>19590.619241912249</v>
      </c>
      <c r="E46" s="5" t="s">
        <v>9</v>
      </c>
      <c r="F46" s="5" t="s">
        <v>27</v>
      </c>
    </row>
    <row r="47" spans="1:10" ht="15.75">
      <c r="A47" s="5" t="s">
        <v>28</v>
      </c>
      <c r="B47" s="5"/>
      <c r="D47" s="4">
        <v>100000</v>
      </c>
      <c r="E47" s="5" t="s">
        <v>9</v>
      </c>
      <c r="F47" s="5" t="s">
        <v>29</v>
      </c>
      <c r="G47" s="5"/>
      <c r="H47" s="5"/>
      <c r="I47" s="5"/>
    </row>
    <row r="48" spans="1:10" ht="15.75">
      <c r="A48" s="5" t="s">
        <v>30</v>
      </c>
      <c r="B48" s="5"/>
      <c r="C48" s="5"/>
      <c r="D48" s="4">
        <v>4020</v>
      </c>
      <c r="E48" s="5" t="s">
        <v>13</v>
      </c>
      <c r="F48" s="5" t="s">
        <v>31</v>
      </c>
      <c r="G48" s="5"/>
      <c r="H48" s="5"/>
      <c r="I48" s="5"/>
    </row>
    <row r="49" spans="1:12" ht="15.75">
      <c r="A49" s="5" t="s">
        <v>32</v>
      </c>
      <c r="B49" s="5"/>
      <c r="C49" s="5"/>
      <c r="D49" s="14">
        <f>0.6*$D$48/($D$12-0.6)</f>
        <v>16079.999999999998</v>
      </c>
      <c r="E49" s="5" t="s">
        <v>13</v>
      </c>
      <c r="F49" s="5" t="s">
        <v>33</v>
      </c>
    </row>
    <row r="50" spans="1:12" ht="15.75">
      <c r="A50" s="5" t="s">
        <v>34</v>
      </c>
      <c r="B50" s="5"/>
      <c r="C50" s="5"/>
      <c r="D50" s="14">
        <f>1/2/PI()/2/$D$14/$D$52</f>
        <v>28.637923400904455</v>
      </c>
      <c r="E50" s="5" t="s">
        <v>13</v>
      </c>
      <c r="F50" s="5" t="s">
        <v>35</v>
      </c>
    </row>
    <row r="51" spans="1:12" ht="15.75">
      <c r="A51" s="5" t="s">
        <v>36</v>
      </c>
      <c r="B51" s="5"/>
      <c r="C51" s="5"/>
      <c r="D51" s="14">
        <f>$D$48*0.2*$D$47/$D$46</f>
        <v>4104.0050346132966</v>
      </c>
      <c r="E51" s="5" t="s">
        <v>13</v>
      </c>
      <c r="F51" s="5" t="s">
        <v>37</v>
      </c>
    </row>
    <row r="52" spans="1:12" ht="15.75">
      <c r="A52" s="5" t="s">
        <v>38</v>
      </c>
      <c r="B52" s="5"/>
      <c r="C52" s="5"/>
      <c r="D52" s="14">
        <f>1/2/PI()/0.8/$D$46/$D$48</f>
        <v>2.5261313447251121E-9</v>
      </c>
      <c r="E52" s="5" t="s">
        <v>15</v>
      </c>
      <c r="F52" s="5" t="s">
        <v>39</v>
      </c>
    </row>
    <row r="53" spans="1:12" ht="15.75">
      <c r="A53" s="5" t="s">
        <v>40</v>
      </c>
      <c r="B53" s="5"/>
      <c r="C53" s="5"/>
      <c r="D53" s="14">
        <f>1/2/PI()/0.8/$D$46/$D$51</f>
        <v>2.4744238664784724E-9</v>
      </c>
      <c r="E53" s="5" t="s">
        <v>15</v>
      </c>
      <c r="F53" s="5" t="s">
        <v>39</v>
      </c>
    </row>
    <row r="54" spans="1:12" ht="15.75">
      <c r="A54" s="5" t="s">
        <v>41</v>
      </c>
      <c r="B54" s="5"/>
      <c r="C54" s="5"/>
      <c r="D54" s="14">
        <f>1/2/PI()/0.3/$D$51/$D$14</f>
        <v>1.1751635348189108E-10</v>
      </c>
      <c r="E54" s="5" t="s">
        <v>15</v>
      </c>
      <c r="F54" s="5" t="s">
        <v>42</v>
      </c>
    </row>
    <row r="56" spans="1:12" ht="15.75">
      <c r="A56" s="5" t="s">
        <v>43</v>
      </c>
      <c r="D56" s="15">
        <f>0.6/$D$49*($D$49+$D$48)</f>
        <v>0.75</v>
      </c>
      <c r="E56" s="5" t="s">
        <v>4</v>
      </c>
    </row>
    <row r="57" spans="1:12" ht="15.75">
      <c r="A57" s="5"/>
    </row>
    <row r="58" spans="1:12" ht="45.75" customHeight="1">
      <c r="A58" s="9" t="s">
        <v>44</v>
      </c>
    </row>
    <row r="59" spans="1:12">
      <c r="B59" t="s">
        <v>45</v>
      </c>
      <c r="C59" s="3" t="s">
        <v>46</v>
      </c>
      <c r="D59" t="s">
        <v>47</v>
      </c>
      <c r="E59" t="s">
        <v>48</v>
      </c>
      <c r="F59" t="s">
        <v>49</v>
      </c>
      <c r="G59" s="3" t="s">
        <v>50</v>
      </c>
      <c r="H59" s="3" t="s">
        <v>51</v>
      </c>
      <c r="I59" s="3" t="s">
        <v>52</v>
      </c>
      <c r="J59" s="3" t="s">
        <v>53</v>
      </c>
      <c r="K59" s="3" t="s">
        <v>54</v>
      </c>
      <c r="L59" s="3" t="s">
        <v>55</v>
      </c>
    </row>
    <row r="60" spans="1:12">
      <c r="A60">
        <v>2</v>
      </c>
      <c r="B60" s="8">
        <f>10^A60</f>
        <v>100</v>
      </c>
      <c r="C60" s="8">
        <f>2*PI()*B60</f>
        <v>628.31853071795865</v>
      </c>
      <c r="D60" s="8" t="str">
        <f>COMPLEX(0,C60)</f>
        <v>628.318530717959i</v>
      </c>
      <c r="E60" t="str">
        <f t="shared" ref="E60:E100" si="0">IMDIV(IMSUM(IMPRODUCT(D60,4*$D$12*D$17*$D$18/$D$13),4*$D$12/$D$13),IMSUM(IMPRODUCT(IMPOWER(D60,2),$D$15*$D$17*$D$18+$D$12*$D$15*$D$17*$D$20/$D$13),IMPRODUCT(D60,$D$16*$D$17*$D$18+$D$15+$D$12*$D$16*$D$17*$D$20/$D$13+$D$18*$D$17*$D$12/$D$13),$D$16+$D$12/$D$13))</f>
        <v>3.87252112643415-0.012945917678999i</v>
      </c>
      <c r="F60" s="8">
        <f>20*LOG10(IMABS(E60))</f>
        <v>11.759924449942085</v>
      </c>
      <c r="G60">
        <f>IMARGUMENT(E60)*180/PI()</f>
        <v>-0.19154025440580144</v>
      </c>
      <c r="H60" t="str">
        <f>IMDIV(IMPRODUCT(IMSUM(IMPRODUCT(D60,$D$51*$D$53),1),IMSUM(IMPRODUCT(D60,$D$52*$D$48+$D$52*$D$50),1)),IMPRODUCT(IMPRODUCT(D60,$D$48),IMSUM(IMPRODUCT(D60,$D$50*$D$52),1),IMSUM(IMPRODUCT(D60,$D$51*$D$53*$D$54),$D$53+$D$54)))</f>
        <v>1.9050342904983-152.74011360649i</v>
      </c>
      <c r="I60">
        <f>20*LOG10(IMABS(H60))</f>
        <v>43.679737724003871</v>
      </c>
      <c r="J60">
        <f>IMARGUMENT(H60)*180/PI()</f>
        <v>-89.285421735049169</v>
      </c>
      <c r="K60" s="8">
        <f>F60+I60</f>
        <v>55.439662173945955</v>
      </c>
      <c r="L60">
        <f>G60+J60</f>
        <v>-89.476961989454978</v>
      </c>
    </row>
    <row r="61" spans="1:12">
      <c r="A61">
        <v>2.1</v>
      </c>
      <c r="B61" s="8">
        <f t="shared" ref="B61:B100" si="1">10^A61</f>
        <v>125.89254117941677</v>
      </c>
      <c r="C61" s="8">
        <f t="shared" ref="C61:C100" si="2">2*PI()*B61</f>
        <v>791.0061650220124</v>
      </c>
      <c r="D61" s="8" t="str">
        <f t="shared" ref="D61:D100" si="3">COMPLEX(0,C61)</f>
        <v>791.006165022012i</v>
      </c>
      <c r="E61" t="str">
        <f t="shared" si="0"/>
        <v>3.8725529238859-0.0162983219172293i</v>
      </c>
      <c r="F61" s="8">
        <f t="shared" ref="F61:F100" si="4">20*LOG10(IMABS(E61))</f>
        <v>11.760024160054366</v>
      </c>
      <c r="G61">
        <f t="shared" ref="G61:G100" si="5">IMARGUMENT(E61)*180/PI()</f>
        <v>-0.24113796862547132</v>
      </c>
      <c r="H61" t="str">
        <f t="shared" ref="H61:H100" si="6">IMDIV(IMPRODUCT(IMSUM(IMPRODUCT(D61,$D$51*$D$53),1),IMSUM(IMPRODUCT(D61,$D$52*$D$48+$D$52*$D$50),1)),IMPRODUCT(IMPRODUCT(D61,$D$48),IMSUM(IMPRODUCT(D61,$D$50*$D$52),1),IMSUM(IMPRODUCT(D61,$D$51*$D$53*$D$54),$D$53+$D$54)))</f>
        <v>1.90503540611758-121.323172293724i</v>
      </c>
      <c r="I61">
        <f t="shared" ref="I61:I100" si="7">20*LOG10(IMABS(H61))</f>
        <v>41.679945804307479</v>
      </c>
      <c r="J61">
        <f t="shared" ref="J61:J100" si="8">IMARGUMENT(H61)*180/PI()</f>
        <v>-89.100406647589054</v>
      </c>
      <c r="K61" s="8">
        <f t="shared" ref="K61:K100" si="9">F61+I61</f>
        <v>53.439969964361843</v>
      </c>
      <c r="L61">
        <f t="shared" ref="L61:L100" si="10">G61+J61</f>
        <v>-89.34154461621452</v>
      </c>
    </row>
    <row r="62" spans="1:12">
      <c r="A62">
        <v>2.2000000000000002</v>
      </c>
      <c r="B62" s="8">
        <f t="shared" si="1"/>
        <v>158.48931924611153</v>
      </c>
      <c r="C62" s="8">
        <f t="shared" si="2"/>
        <v>995.81776203206277</v>
      </c>
      <c r="D62" s="8" t="str">
        <f t="shared" si="3"/>
        <v>995.817762032063i</v>
      </c>
      <c r="E62" t="str">
        <f t="shared" si="0"/>
        <v>3.8726033189526-0.0205191242147387i</v>
      </c>
      <c r="F62" s="8">
        <f t="shared" si="4"/>
        <v>11.760182190708875</v>
      </c>
      <c r="G62">
        <f t="shared" si="5"/>
        <v>-0.3035808519908389</v>
      </c>
      <c r="H62" t="str">
        <f t="shared" si="6"/>
        <v>1.90503717425473-96.3671323132837i</v>
      </c>
      <c r="I62">
        <f t="shared" si="7"/>
        <v>39.680275579131759</v>
      </c>
      <c r="J62">
        <f t="shared" si="8"/>
        <v>-88.867493800940295</v>
      </c>
      <c r="K62" s="8">
        <f t="shared" si="9"/>
        <v>51.440457769840634</v>
      </c>
      <c r="L62">
        <f t="shared" si="10"/>
        <v>-89.171074652931139</v>
      </c>
    </row>
    <row r="63" spans="1:12">
      <c r="A63">
        <v>2.2999999999999998</v>
      </c>
      <c r="B63" s="8">
        <f t="shared" si="1"/>
        <v>199.52623149688802</v>
      </c>
      <c r="C63" s="8">
        <f t="shared" si="2"/>
        <v>1253.6602861381596</v>
      </c>
      <c r="D63" s="8" t="str">
        <f t="shared" si="3"/>
        <v>1253.66028613816i</v>
      </c>
      <c r="E63" t="str">
        <f t="shared" si="0"/>
        <v>3.872683188499-0.0258335485860434i</v>
      </c>
      <c r="F63" s="8">
        <f t="shared" si="4"/>
        <v>11.760432654367182</v>
      </c>
      <c r="G63">
        <f t="shared" si="5"/>
        <v>-0.38219789163249862</v>
      </c>
      <c r="H63" t="str">
        <f t="shared" si="6"/>
        <v>1.90503997656269-76.542993534048i</v>
      </c>
      <c r="I63">
        <f t="shared" si="7"/>
        <v>37.680798211305429</v>
      </c>
      <c r="J63">
        <f t="shared" si="8"/>
        <v>-88.574288560601289</v>
      </c>
      <c r="K63" s="8">
        <f t="shared" si="9"/>
        <v>49.441230865672608</v>
      </c>
      <c r="L63">
        <f t="shared" si="10"/>
        <v>-88.95648645223379</v>
      </c>
    </row>
    <row r="64" spans="1:12">
      <c r="A64">
        <v>2.4</v>
      </c>
      <c r="B64" s="8">
        <f t="shared" si="1"/>
        <v>251.18864315095806</v>
      </c>
      <c r="C64" s="8">
        <f t="shared" si="2"/>
        <v>1578.2647919764759</v>
      </c>
      <c r="D64" s="8" t="str">
        <f t="shared" si="3"/>
        <v>1578.26479197648i</v>
      </c>
      <c r="E64" t="str">
        <f t="shared" si="0"/>
        <v>3.87280977005318-0.0325255073077586i</v>
      </c>
      <c r="F64" s="8">
        <f t="shared" si="4"/>
        <v>11.760829617411124</v>
      </c>
      <c r="G64">
        <f t="shared" si="5"/>
        <v>-0.48118306679431111</v>
      </c>
      <c r="H64" t="str">
        <f t="shared" si="6"/>
        <v>1.90504441792006-60.7950482779256i</v>
      </c>
      <c r="I64">
        <f t="shared" si="7"/>
        <v>35.681626462931419</v>
      </c>
      <c r="J64">
        <f t="shared" si="8"/>
        <v>-88.20519428154256</v>
      </c>
      <c r="K64" s="8">
        <f t="shared" si="9"/>
        <v>47.442456080342545</v>
      </c>
      <c r="L64">
        <f t="shared" si="10"/>
        <v>-88.686377348336876</v>
      </c>
    </row>
    <row r="65" spans="1:12">
      <c r="A65">
        <v>2.5</v>
      </c>
      <c r="B65" s="8">
        <f t="shared" si="1"/>
        <v>316.22776601683825</v>
      </c>
      <c r="C65" s="8">
        <f t="shared" si="2"/>
        <v>1986.917653159222</v>
      </c>
      <c r="D65" s="8" t="str">
        <f t="shared" si="3"/>
        <v>1986.91765315922i</v>
      </c>
      <c r="E65" t="str">
        <f t="shared" si="0"/>
        <v>3.87301038038557-0.040953167344516i</v>
      </c>
      <c r="F65" s="8">
        <f t="shared" si="4"/>
        <v>11.761458773733738</v>
      </c>
      <c r="G65">
        <f t="shared" si="5"/>
        <v>-0.60582233730322621</v>
      </c>
      <c r="H65" t="str">
        <f t="shared" si="6"/>
        <v>1.90505145699349-48.2846610368339i</v>
      </c>
      <c r="I65">
        <f t="shared" si="7"/>
        <v>33.682938991190632</v>
      </c>
      <c r="J65">
        <f t="shared" si="8"/>
        <v>-87.740590461623057</v>
      </c>
      <c r="K65" s="8">
        <f t="shared" si="9"/>
        <v>45.444397764924368</v>
      </c>
      <c r="L65">
        <f t="shared" si="10"/>
        <v>-88.346412798926281</v>
      </c>
    </row>
    <row r="66" spans="1:12">
      <c r="A66">
        <v>2.6</v>
      </c>
      <c r="B66" s="8">
        <f t="shared" si="1"/>
        <v>398.10717055349761</v>
      </c>
      <c r="C66" s="8">
        <f t="shared" si="2"/>
        <v>2501.3811247045737</v>
      </c>
      <c r="D66" s="8" t="str">
        <f t="shared" si="3"/>
        <v>2501.38112470457i</v>
      </c>
      <c r="E66" t="str">
        <f t="shared" si="0"/>
        <v>3.87332830643148-0.051568916678652i</v>
      </c>
      <c r="F66" s="8">
        <f t="shared" si="4"/>
        <v>11.762455950179586</v>
      </c>
      <c r="G66">
        <f t="shared" si="5"/>
        <v>-0.76278241441242156</v>
      </c>
      <c r="H66" t="str">
        <f t="shared" si="6"/>
        <v>1.90506261316389-38.3456080747726i</v>
      </c>
      <c r="I66">
        <f t="shared" si="7"/>
        <v>31.685018801237291</v>
      </c>
      <c r="J66">
        <f t="shared" si="8"/>
        <v>-87.155805287112557</v>
      </c>
      <c r="K66" s="8">
        <f t="shared" si="9"/>
        <v>43.447474751416877</v>
      </c>
      <c r="L66">
        <f t="shared" si="10"/>
        <v>-87.918587701524984</v>
      </c>
    </row>
    <row r="67" spans="1:12">
      <c r="A67">
        <v>2.7</v>
      </c>
      <c r="B67" s="8">
        <f t="shared" si="1"/>
        <v>501.18723362727269</v>
      </c>
      <c r="C67" s="8">
        <f t="shared" si="2"/>
        <v>3149.0522624728624</v>
      </c>
      <c r="D67" s="8" t="str">
        <f t="shared" si="3"/>
        <v>3149.05226247286i</v>
      </c>
      <c r="E67" t="str">
        <f t="shared" si="0"/>
        <v>3.87383213513111-0.064945238639904i</v>
      </c>
      <c r="F67" s="8">
        <f t="shared" si="4"/>
        <v>11.764036445832055</v>
      </c>
      <c r="G67">
        <f t="shared" si="5"/>
        <v>-0.96048031379603949</v>
      </c>
      <c r="H67" t="str">
        <f t="shared" si="6"/>
        <v>1.90508029447945-30.4485985864472i</v>
      </c>
      <c r="I67">
        <f t="shared" si="7"/>
        <v>29.688314056068311</v>
      </c>
      <c r="J67">
        <f t="shared" si="8"/>
        <v>-86.419836462402458</v>
      </c>
      <c r="K67" s="8">
        <f t="shared" si="9"/>
        <v>41.452350501900369</v>
      </c>
      <c r="L67">
        <f t="shared" si="10"/>
        <v>-87.380316776198498</v>
      </c>
    </row>
    <row r="68" spans="1:12">
      <c r="A68">
        <v>2.8</v>
      </c>
      <c r="B68" s="8">
        <f t="shared" si="1"/>
        <v>630.95734448019323</v>
      </c>
      <c r="C68" s="8">
        <f t="shared" si="2"/>
        <v>3964.4219162949989</v>
      </c>
      <c r="D68" s="8" t="str">
        <f t="shared" si="3"/>
        <v>3964.421916295i</v>
      </c>
      <c r="E68" t="str">
        <f t="shared" si="0"/>
        <v>3.87463052338121-0.0818087625990818i</v>
      </c>
      <c r="F68" s="8">
        <f t="shared" si="4"/>
        <v>11.766541557050829</v>
      </c>
      <c r="G68">
        <f t="shared" si="5"/>
        <v>-1.209560615235447</v>
      </c>
      <c r="H68" t="str">
        <f t="shared" si="6"/>
        <v>1.90510831741841-24.1730880357253i</v>
      </c>
      <c r="I68">
        <f t="shared" si="7"/>
        <v>27.693534118075156</v>
      </c>
      <c r="J68">
        <f t="shared" si="8"/>
        <v>-85.493769317209086</v>
      </c>
      <c r="K68" s="8">
        <f t="shared" si="9"/>
        <v>39.460075675125985</v>
      </c>
      <c r="L68">
        <f t="shared" si="10"/>
        <v>-86.703329932444532</v>
      </c>
    </row>
    <row r="69" spans="1:12">
      <c r="A69">
        <v>2.9</v>
      </c>
      <c r="B69" s="8">
        <f t="shared" si="1"/>
        <v>794.32823472428208</v>
      </c>
      <c r="C69" s="8">
        <f t="shared" si="2"/>
        <v>4990.9114934975069</v>
      </c>
      <c r="D69" s="8" t="str">
        <f t="shared" si="3"/>
        <v>4990.91149349751i</v>
      </c>
      <c r="E69" t="str">
        <f t="shared" si="0"/>
        <v>3.87589556386313-0.103086090350868i</v>
      </c>
      <c r="F69" s="8">
        <f t="shared" si="4"/>
        <v>11.770512378199751</v>
      </c>
      <c r="G69">
        <f t="shared" si="5"/>
        <v>-1.5235203574289482</v>
      </c>
      <c r="H69" t="str">
        <f t="shared" si="6"/>
        <v>1.90515273063867-19.1848826333653i</v>
      </c>
      <c r="I69">
        <f t="shared" si="7"/>
        <v>25.701800924273911</v>
      </c>
      <c r="J69">
        <f t="shared" si="8"/>
        <v>-84.328841903999134</v>
      </c>
      <c r="K69" s="8">
        <f t="shared" si="9"/>
        <v>37.472313302473665</v>
      </c>
      <c r="L69">
        <f t="shared" si="10"/>
        <v>-85.852362261428084</v>
      </c>
    </row>
    <row r="70" spans="1:12">
      <c r="A70">
        <v>3</v>
      </c>
      <c r="B70" s="8">
        <f t="shared" si="1"/>
        <v>1000</v>
      </c>
      <c r="C70" s="8">
        <f t="shared" si="2"/>
        <v>6283.1853071795858</v>
      </c>
      <c r="D70" s="8" t="str">
        <f t="shared" si="3"/>
        <v>6283.18530717959i</v>
      </c>
      <c r="E70" t="str">
        <f t="shared" si="0"/>
        <v>3.87789970686511-0.129967431610545i</v>
      </c>
      <c r="F70" s="8">
        <f t="shared" si="4"/>
        <v>11.776806926285822</v>
      </c>
      <c r="G70">
        <f t="shared" si="5"/>
        <v>-1.9195439859799814</v>
      </c>
      <c r="H70" t="str">
        <f t="shared" si="6"/>
        <v>1.90522312048506-15.2183423146581i</v>
      </c>
      <c r="I70">
        <f t="shared" si="7"/>
        <v>23.714886799279157</v>
      </c>
      <c r="J70">
        <f t="shared" si="8"/>
        <v>-82.864121188205061</v>
      </c>
      <c r="K70" s="8">
        <f t="shared" si="9"/>
        <v>35.491693725564978</v>
      </c>
      <c r="L70">
        <f t="shared" si="10"/>
        <v>-84.783665174185046</v>
      </c>
    </row>
    <row r="71" spans="1:12">
      <c r="A71">
        <v>3.1</v>
      </c>
      <c r="B71" s="8">
        <f t="shared" si="1"/>
        <v>1258.925411794168</v>
      </c>
      <c r="C71" s="8">
        <f t="shared" si="2"/>
        <v>7910.0616502201265</v>
      </c>
      <c r="D71" s="8" t="str">
        <f t="shared" si="3"/>
        <v>7910.06165022013i</v>
      </c>
      <c r="E71" t="str">
        <f t="shared" si="0"/>
        <v>3.88107398943366-0.163998699898486i</v>
      </c>
      <c r="F71" s="8">
        <f t="shared" si="4"/>
        <v>11.786786164119958</v>
      </c>
      <c r="G71">
        <f t="shared" si="5"/>
        <v>-2.4196515436566552</v>
      </c>
      <c r="H71" t="str">
        <f t="shared" si="6"/>
        <v>1.90533467995898-12.062234468371i</v>
      </c>
      <c r="I71">
        <f t="shared" si="7"/>
        <v>21.735586127835603</v>
      </c>
      <c r="J71">
        <f t="shared" si="8"/>
        <v>-81.023798652822848</v>
      </c>
      <c r="K71" s="8">
        <f t="shared" si="9"/>
        <v>33.522372291955563</v>
      </c>
      <c r="L71">
        <f t="shared" si="10"/>
        <v>-83.443450196479503</v>
      </c>
    </row>
    <row r="72" spans="1:12">
      <c r="A72">
        <v>3.2</v>
      </c>
      <c r="B72" s="8">
        <f t="shared" si="1"/>
        <v>1584.8931924611156</v>
      </c>
      <c r="C72" s="8">
        <f t="shared" si="2"/>
        <v>9958.17762032063</v>
      </c>
      <c r="D72" s="8" t="str">
        <f t="shared" si="3"/>
        <v>9958.17762032063i</v>
      </c>
      <c r="E72" t="str">
        <f t="shared" si="0"/>
        <v>3.88609955714226-0.207221760836917i</v>
      </c>
      <c r="F72" s="8">
        <f t="shared" si="4"/>
        <v>11.802609795736998</v>
      </c>
      <c r="G72">
        <f t="shared" si="5"/>
        <v>-3.0523402738574421</v>
      </c>
      <c r="H72" t="str">
        <f t="shared" si="6"/>
        <v>1.90551148751278-9.5484850918891i</v>
      </c>
      <c r="I72">
        <f t="shared" si="7"/>
        <v>19.768291425647117</v>
      </c>
      <c r="J72">
        <f t="shared" si="8"/>
        <v>-78.71421890609065</v>
      </c>
      <c r="K72" s="8">
        <f t="shared" si="9"/>
        <v>31.570901221384116</v>
      </c>
      <c r="L72">
        <f t="shared" si="10"/>
        <v>-81.766559179948089</v>
      </c>
    </row>
    <row r="73" spans="1:12">
      <c r="A73">
        <v>3.3</v>
      </c>
      <c r="B73" s="8">
        <f t="shared" si="1"/>
        <v>1995.2623149688804</v>
      </c>
      <c r="C73" s="8">
        <f t="shared" si="2"/>
        <v>12536.602861381598</v>
      </c>
      <c r="D73" s="8" t="str">
        <f t="shared" si="3"/>
        <v>12536.6028613816i</v>
      </c>
      <c r="E73" t="str">
        <f t="shared" si="0"/>
        <v>3.89405062467553-0.262400753672703i</v>
      </c>
      <c r="F73" s="8">
        <f t="shared" si="4"/>
        <v>11.827707426815646</v>
      </c>
      <c r="G73">
        <f t="shared" si="5"/>
        <v>-3.8550504605959945</v>
      </c>
      <c r="H73" t="str">
        <f t="shared" si="6"/>
        <v>1.90579170283163-7.54322836129512i</v>
      </c>
      <c r="I73">
        <f t="shared" si="7"/>
        <v>17.819874349685264</v>
      </c>
      <c r="J73">
        <f t="shared" si="8"/>
        <v>-75.820978751426225</v>
      </c>
      <c r="K73" s="8">
        <f t="shared" si="9"/>
        <v>29.64758177650091</v>
      </c>
      <c r="L73">
        <f t="shared" si="10"/>
        <v>-79.676029212022215</v>
      </c>
    </row>
    <row r="74" spans="1:12">
      <c r="A74">
        <v>3.4</v>
      </c>
      <c r="B74" s="8">
        <f t="shared" si="1"/>
        <v>2511.8864315095811</v>
      </c>
      <c r="C74" s="8">
        <f t="shared" si="2"/>
        <v>15782.647919764762</v>
      </c>
      <c r="D74" s="8" t="str">
        <f t="shared" si="3"/>
        <v>15782.6479197648i</v>
      </c>
      <c r="E74" t="str">
        <f t="shared" si="0"/>
        <v>3.90661510470149-0.33341032985976i</v>
      </c>
      <c r="F74" s="8">
        <f t="shared" si="4"/>
        <v>11.867530907417095</v>
      </c>
      <c r="G74">
        <f t="shared" si="5"/>
        <v>-4.8780914386545886</v>
      </c>
      <c r="H74" t="str">
        <f t="shared" si="6"/>
        <v>1.90623579969105-5.9396780346993i</v>
      </c>
      <c r="I74">
        <f t="shared" si="7"/>
        <v>15.9010040684031</v>
      </c>
      <c r="J74">
        <f t="shared" si="8"/>
        <v>-72.206875360254401</v>
      </c>
      <c r="K74" s="8">
        <f t="shared" si="9"/>
        <v>27.768534975820195</v>
      </c>
      <c r="L74">
        <f t="shared" si="10"/>
        <v>-77.084966798908994</v>
      </c>
    </row>
    <row r="75" spans="1:12">
      <c r="A75">
        <v>3.5</v>
      </c>
      <c r="B75" s="8">
        <f t="shared" si="1"/>
        <v>3162.2776601683804</v>
      </c>
      <c r="C75" s="8">
        <f t="shared" si="2"/>
        <v>19869.176531592209</v>
      </c>
      <c r="D75" s="8" t="str">
        <f t="shared" si="3"/>
        <v>19869.1765315922i</v>
      </c>
      <c r="E75" t="str">
        <f t="shared" si="0"/>
        <v>3.9264264483103-0.425943529756267i</v>
      </c>
      <c r="F75" s="8">
        <f t="shared" si="4"/>
        <v>11.930759475355163</v>
      </c>
      <c r="G75">
        <f t="shared" si="5"/>
        <v>-6.1913050022518075</v>
      </c>
      <c r="H75" t="str">
        <f t="shared" si="6"/>
        <v>1.90693960938068-4.65244118740807i</v>
      </c>
      <c r="I75">
        <f t="shared" si="7"/>
        <v>14.028050311609626</v>
      </c>
      <c r="J75">
        <f t="shared" si="8"/>
        <v>-67.712288605171068</v>
      </c>
      <c r="K75" s="8">
        <f t="shared" si="9"/>
        <v>25.958809786964789</v>
      </c>
      <c r="L75">
        <f t="shared" si="10"/>
        <v>-73.903593607422877</v>
      </c>
    </row>
    <row r="76" spans="1:12">
      <c r="A76">
        <v>3.6</v>
      </c>
      <c r="B76" s="8">
        <f t="shared" si="1"/>
        <v>3981.0717055349769</v>
      </c>
      <c r="C76" s="8">
        <f t="shared" si="2"/>
        <v>25013.811247045742</v>
      </c>
      <c r="D76" s="8" t="str">
        <f t="shared" si="3"/>
        <v>25013.8112470457i</v>
      </c>
      <c r="E76" t="str">
        <f t="shared" si="0"/>
        <v>3.95753244459234-0.548882160559434i</v>
      </c>
      <c r="F76" s="8">
        <f t="shared" si="4"/>
        <v>12.031236188561351</v>
      </c>
      <c r="G76">
        <f t="shared" si="5"/>
        <v>-7.8961528182283693</v>
      </c>
      <c r="H76" t="str">
        <f t="shared" si="6"/>
        <v>1.90805498114387-3.61297170860863i</v>
      </c>
      <c r="I76">
        <f t="shared" si="7"/>
        <v>12.225666105327807</v>
      </c>
      <c r="J76">
        <f t="shared" si="8"/>
        <v>-62.160912443127152</v>
      </c>
      <c r="K76" s="8">
        <f t="shared" si="9"/>
        <v>24.256902293889159</v>
      </c>
      <c r="L76">
        <f t="shared" si="10"/>
        <v>-70.057065261355518</v>
      </c>
    </row>
    <row r="77" spans="1:12">
      <c r="A77">
        <v>3.7</v>
      </c>
      <c r="B77" s="8">
        <f t="shared" si="1"/>
        <v>5011.8723362727324</v>
      </c>
      <c r="C77" s="8">
        <f t="shared" si="2"/>
        <v>31490.522624728659</v>
      </c>
      <c r="D77" s="8" t="str">
        <f t="shared" si="3"/>
        <v>31490.5226247287i</v>
      </c>
      <c r="E77" t="str">
        <f t="shared" si="0"/>
        <v>4.0059400588351-0.717115563901227i</v>
      </c>
      <c r="F77" s="8">
        <f t="shared" si="4"/>
        <v>12.191078108016129</v>
      </c>
      <c r="G77">
        <f t="shared" si="5"/>
        <v>-10.149191120242685</v>
      </c>
      <c r="H77" t="str">
        <f t="shared" si="6"/>
        <v>1.90982249665117-2.76592192819062i</v>
      </c>
      <c r="I77">
        <f t="shared" si="7"/>
        <v>10.529918096801552</v>
      </c>
      <c r="J77">
        <f t="shared" si="8"/>
        <v>-55.375574748166493</v>
      </c>
      <c r="K77" s="8">
        <f t="shared" si="9"/>
        <v>22.720996204817681</v>
      </c>
      <c r="L77">
        <f t="shared" si="10"/>
        <v>-65.524765868409176</v>
      </c>
    </row>
    <row r="78" spans="1:12">
      <c r="A78">
        <v>3.8</v>
      </c>
      <c r="B78" s="8">
        <f t="shared" si="1"/>
        <v>6309.5734448019384</v>
      </c>
      <c r="C78" s="8">
        <f t="shared" si="2"/>
        <v>39644.21916295003</v>
      </c>
      <c r="D78" s="8" t="str">
        <f t="shared" si="3"/>
        <v>39644.21916295i</v>
      </c>
      <c r="E78" t="str">
        <f t="shared" si="0"/>
        <v>4.07972566832397-0.957722499670023i</v>
      </c>
      <c r="F78" s="8">
        <f t="shared" si="4"/>
        <v>12.445589845561004</v>
      </c>
      <c r="G78">
        <f t="shared" si="5"/>
        <v>-13.21106796236543</v>
      </c>
      <c r="H78" t="str">
        <f t="shared" si="6"/>
        <v>1.91262324334282-2.06619905404808i</v>
      </c>
      <c r="I78">
        <f t="shared" si="7"/>
        <v>8.9912563367438629</v>
      </c>
      <c r="J78">
        <f t="shared" si="8"/>
        <v>-47.210422894411373</v>
      </c>
      <c r="K78" s="8">
        <f t="shared" si="9"/>
        <v>21.436846182304869</v>
      </c>
      <c r="L78">
        <f t="shared" si="10"/>
        <v>-60.421490856776799</v>
      </c>
    </row>
    <row r="79" spans="1:12">
      <c r="A79">
        <v>3.9</v>
      </c>
      <c r="B79" s="8">
        <f t="shared" si="1"/>
        <v>7943.2823472428154</v>
      </c>
      <c r="C79" s="8">
        <f t="shared" si="2"/>
        <v>49909.114934975034</v>
      </c>
      <c r="D79" s="8" t="str">
        <f t="shared" si="3"/>
        <v>49909.114934975i</v>
      </c>
      <c r="E79" t="str">
        <f t="shared" si="0"/>
        <v>4.18603070914634-1.32445314826904i</v>
      </c>
      <c r="F79" s="8">
        <f t="shared" si="4"/>
        <v>12.850401061156589</v>
      </c>
      <c r="G79">
        <f t="shared" si="5"/>
        <v>-17.557284637406489</v>
      </c>
      <c r="H79" t="str">
        <f t="shared" si="6"/>
        <v>1.91706067991871-1.47657159514066i</v>
      </c>
      <c r="I79">
        <f t="shared" si="7"/>
        <v>7.6755548001950071</v>
      </c>
      <c r="J79">
        <f t="shared" si="8"/>
        <v>-37.604429672936952</v>
      </c>
      <c r="K79" s="8">
        <f t="shared" si="9"/>
        <v>20.525955861351598</v>
      </c>
      <c r="L79">
        <f t="shared" si="10"/>
        <v>-55.161714310343442</v>
      </c>
    </row>
    <row r="80" spans="1:12">
      <c r="A80">
        <v>4</v>
      </c>
      <c r="B80" s="8">
        <f t="shared" si="1"/>
        <v>10000</v>
      </c>
      <c r="C80" s="8">
        <f t="shared" si="2"/>
        <v>62831.853071795864</v>
      </c>
      <c r="D80" s="8" t="str">
        <f t="shared" si="3"/>
        <v>62831.8530717959i</v>
      </c>
      <c r="E80" t="str">
        <f t="shared" si="0"/>
        <v>4.31123200221407-1.93314257017122i</v>
      </c>
      <c r="F80" s="8">
        <f t="shared" si="4"/>
        <v>13.487673754350059</v>
      </c>
      <c r="G80">
        <f t="shared" si="5"/>
        <v>-24.151310782442994</v>
      </c>
      <c r="H80" t="str">
        <f t="shared" si="6"/>
        <v>1.92408990853548-0.965702144173417i</v>
      </c>
      <c r="I80">
        <f t="shared" si="7"/>
        <v>6.6602187222086524</v>
      </c>
      <c r="J80">
        <f t="shared" si="8"/>
        <v>-26.652108311800198</v>
      </c>
      <c r="K80" s="8">
        <f t="shared" si="9"/>
        <v>20.14789247655871</v>
      </c>
      <c r="L80">
        <f t="shared" si="10"/>
        <v>-50.803419094243196</v>
      </c>
    </row>
    <row r="81" spans="1:12">
      <c r="A81">
        <v>4.0999999999999996</v>
      </c>
      <c r="B81" s="8">
        <f t="shared" si="1"/>
        <v>12589.254117941671</v>
      </c>
      <c r="C81" s="8">
        <f t="shared" si="2"/>
        <v>79100.616502201214</v>
      </c>
      <c r="D81" s="8" t="str">
        <f t="shared" si="3"/>
        <v>79100.6165022012i</v>
      </c>
      <c r="E81" t="str">
        <f t="shared" si="0"/>
        <v>4.31076979592084-3.03665020902305i</v>
      </c>
      <c r="F81" s="8">
        <f t="shared" si="4"/>
        <v>14.441069787707521</v>
      </c>
      <c r="G81">
        <f t="shared" si="5"/>
        <v>-35.162145166264828</v>
      </c>
      <c r="H81" t="str">
        <f t="shared" si="6"/>
        <v>1.93522136496871-0.506509384273243i</v>
      </c>
      <c r="I81">
        <f t="shared" si="7"/>
        <v>6.0223730880785356</v>
      </c>
      <c r="J81">
        <f t="shared" si="8"/>
        <v>-14.667130333307449</v>
      </c>
      <c r="K81" s="8">
        <f t="shared" si="9"/>
        <v>20.463442875786058</v>
      </c>
      <c r="L81">
        <f t="shared" si="10"/>
        <v>-49.829275499572276</v>
      </c>
    </row>
    <row r="82" spans="1:12">
      <c r="A82">
        <v>4.2</v>
      </c>
      <c r="B82" s="8">
        <f t="shared" si="1"/>
        <v>15848.931924611146</v>
      </c>
      <c r="C82" s="8">
        <f t="shared" si="2"/>
        <v>99581.776203206231</v>
      </c>
      <c r="D82" s="8" t="str">
        <f t="shared" si="3"/>
        <v>99581.7762032062i</v>
      </c>
      <c r="E82" t="str">
        <f t="shared" si="0"/>
        <v>3.38412872312129-4.92823660579455i</v>
      </c>
      <c r="F82" s="8">
        <f t="shared" si="4"/>
        <v>15.531526435076739</v>
      </c>
      <c r="G82">
        <f t="shared" si="5"/>
        <v>-55.523335520616037</v>
      </c>
      <c r="H82" t="str">
        <f t="shared" si="6"/>
        <v>1.95284066172054-0.0747871894560951i</v>
      </c>
      <c r="I82">
        <f t="shared" si="7"/>
        <v>5.8197010166247125</v>
      </c>
      <c r="J82">
        <f t="shared" si="8"/>
        <v>-2.1931627141735879</v>
      </c>
      <c r="K82" s="8">
        <f t="shared" si="9"/>
        <v>21.351227451701451</v>
      </c>
      <c r="L82">
        <f t="shared" si="10"/>
        <v>-57.716498234789626</v>
      </c>
    </row>
    <row r="83" spans="1:12">
      <c r="A83">
        <v>4.3</v>
      </c>
      <c r="B83" s="8">
        <f t="shared" si="1"/>
        <v>19952.623149688792</v>
      </c>
      <c r="C83" s="8">
        <f t="shared" si="2"/>
        <v>125366.0286138159</v>
      </c>
      <c r="D83" s="8" t="str">
        <f t="shared" si="3"/>
        <v>125366.028613816i</v>
      </c>
      <c r="E83" t="str">
        <f t="shared" si="0"/>
        <v>-0.0316406959434842-5.7341944795432i</v>
      </c>
      <c r="F83" s="8">
        <f t="shared" si="4"/>
        <v>15.169580594175526</v>
      </c>
      <c r="G83">
        <f t="shared" si="5"/>
        <v>-90.316149015560029</v>
      </c>
      <c r="H83" t="str">
        <f t="shared" si="6"/>
        <v>1.9807080543488+0.351962959550692i</v>
      </c>
      <c r="I83">
        <f t="shared" si="7"/>
        <v>6.0714203843932788</v>
      </c>
      <c r="J83">
        <f t="shared" si="8"/>
        <v>10.076029623338785</v>
      </c>
      <c r="K83" s="8">
        <f t="shared" si="9"/>
        <v>21.241000978568806</v>
      </c>
      <c r="L83">
        <f t="shared" si="10"/>
        <v>-80.240119392221246</v>
      </c>
    </row>
    <row r="84" spans="1:12">
      <c r="A84">
        <v>4.4000000000000004</v>
      </c>
      <c r="B84" s="8">
        <f t="shared" si="1"/>
        <v>25118.86431509586</v>
      </c>
      <c r="C84" s="8">
        <f t="shared" si="2"/>
        <v>157826.47919764792</v>
      </c>
      <c r="D84" s="8" t="str">
        <f t="shared" si="3"/>
        <v>157826.479197648i</v>
      </c>
      <c r="E84" t="str">
        <f t="shared" si="0"/>
        <v>-2.11388562773141-3.06410073510958i</v>
      </c>
      <c r="F84" s="8">
        <f t="shared" si="4"/>
        <v>11.416762925528801</v>
      </c>
      <c r="G84">
        <f t="shared" si="5"/>
        <v>-124.601319100216</v>
      </c>
      <c r="H84" t="str">
        <f t="shared" si="6"/>
        <v>2.02473150346731+0.795490192833031i</v>
      </c>
      <c r="I84">
        <f t="shared" si="7"/>
        <v>6.7507615123700981</v>
      </c>
      <c r="J84">
        <f t="shared" si="8"/>
        <v>21.449206184005522</v>
      </c>
      <c r="K84" s="8">
        <f t="shared" si="9"/>
        <v>18.167524437898898</v>
      </c>
      <c r="L84">
        <f t="shared" si="10"/>
        <v>-103.15211291621048</v>
      </c>
    </row>
    <row r="85" spans="1:12">
      <c r="A85">
        <v>4.5</v>
      </c>
      <c r="B85" s="8">
        <f t="shared" si="1"/>
        <v>31622.77660168384</v>
      </c>
      <c r="C85" s="8">
        <f t="shared" si="2"/>
        <v>198691.7653159223</v>
      </c>
      <c r="D85" s="8" t="str">
        <f t="shared" si="3"/>
        <v>198691.765315922i</v>
      </c>
      <c r="E85" t="str">
        <f t="shared" si="0"/>
        <v>-1.68193078396668-1.20554811514268i</v>
      </c>
      <c r="F85" s="8">
        <f t="shared" si="4"/>
        <v>6.3167074220369814</v>
      </c>
      <c r="G85">
        <f t="shared" si="5"/>
        <v>-144.36839317810666</v>
      </c>
      <c r="H85" t="str">
        <f t="shared" si="6"/>
        <v>2.09414602439856+1.27748152399945i</v>
      </c>
      <c r="I85">
        <f t="shared" si="7"/>
        <v>7.794093591686865</v>
      </c>
      <c r="J85">
        <f t="shared" si="8"/>
        <v>31.384236891538041</v>
      </c>
      <c r="K85" s="8">
        <f t="shared" si="9"/>
        <v>14.110801013723847</v>
      </c>
      <c r="L85">
        <f t="shared" si="10"/>
        <v>-112.98415628656862</v>
      </c>
    </row>
    <row r="86" spans="1:12">
      <c r="A86">
        <v>4.5999999999999996</v>
      </c>
      <c r="B86" s="8">
        <f t="shared" si="1"/>
        <v>39810.717055349742</v>
      </c>
      <c r="C86" s="8">
        <f t="shared" si="2"/>
        <v>250138.11247045727</v>
      </c>
      <c r="D86" s="8" t="str">
        <f t="shared" si="3"/>
        <v>250138.112470457i</v>
      </c>
      <c r="E86" t="str">
        <f t="shared" si="0"/>
        <v>-1.06196556586709-0.495262252189686i</v>
      </c>
      <c r="F86" s="8">
        <f t="shared" si="4"/>
        <v>1.3768811158363885</v>
      </c>
      <c r="G86">
        <f t="shared" si="5"/>
        <v>-154.997359862358</v>
      </c>
      <c r="H86" t="str">
        <f t="shared" si="6"/>
        <v>2.20327033068423+1.81980113152617i</v>
      </c>
      <c r="I86">
        <f t="shared" si="7"/>
        <v>9.1201343389610816</v>
      </c>
      <c r="J86">
        <f t="shared" si="8"/>
        <v>39.555158139479943</v>
      </c>
      <c r="K86" s="8">
        <f t="shared" si="9"/>
        <v>10.49701545479747</v>
      </c>
      <c r="L86">
        <f t="shared" si="10"/>
        <v>-115.44220172287805</v>
      </c>
    </row>
    <row r="87" spans="1:12">
      <c r="A87">
        <v>4.7</v>
      </c>
      <c r="B87" s="8">
        <f t="shared" si="1"/>
        <v>50118.723362727294</v>
      </c>
      <c r="C87" s="8">
        <f t="shared" si="2"/>
        <v>314905.22624728642</v>
      </c>
      <c r="D87" s="8" t="str">
        <f t="shared" si="3"/>
        <v>314905.226247286i</v>
      </c>
      <c r="E87" t="str">
        <f t="shared" si="0"/>
        <v>-0.651566256214972-0.220866073703262i</v>
      </c>
      <c r="F87" s="8">
        <f t="shared" si="4"/>
        <v>-3.2484476910713695</v>
      </c>
      <c r="G87">
        <f t="shared" si="5"/>
        <v>-161.27451531334407</v>
      </c>
      <c r="H87" t="str">
        <f t="shared" si="6"/>
        <v>2.37401888066029+2.44390166223441i</v>
      </c>
      <c r="I87">
        <f t="shared" si="7"/>
        <v>10.647806317823088</v>
      </c>
      <c r="J87">
        <f t="shared" si="8"/>
        <v>45.831003261157875</v>
      </c>
      <c r="K87" s="8">
        <f t="shared" si="9"/>
        <v>7.3993586267517184</v>
      </c>
      <c r="L87">
        <f t="shared" si="10"/>
        <v>-115.44351205218619</v>
      </c>
    </row>
    <row r="88" spans="1:12">
      <c r="A88">
        <v>4.8</v>
      </c>
      <c r="B88" s="8">
        <f t="shared" si="1"/>
        <v>63095.734448019342</v>
      </c>
      <c r="C88" s="8">
        <f t="shared" si="2"/>
        <v>396442.19162950001</v>
      </c>
      <c r="D88" s="8" t="str">
        <f t="shared" si="3"/>
        <v>396442.1916295i</v>
      </c>
      <c r="E88" t="str">
        <f t="shared" si="0"/>
        <v>-0.401128331057781-0.105343067612599i</v>
      </c>
      <c r="F88" s="8">
        <f t="shared" si="4"/>
        <v>-7.644687759617522</v>
      </c>
      <c r="G88">
        <f t="shared" si="5"/>
        <v>-165.28543167273961</v>
      </c>
      <c r="H88" t="str">
        <f t="shared" si="6"/>
        <v>2.63923999603137+3.16869229490532i</v>
      </c>
      <c r="I88">
        <f t="shared" si="7"/>
        <v>12.306072469222283</v>
      </c>
      <c r="J88">
        <f t="shared" si="8"/>
        <v>50.208698435268907</v>
      </c>
      <c r="K88" s="8">
        <f t="shared" si="9"/>
        <v>4.6613847096047607</v>
      </c>
      <c r="L88">
        <f t="shared" si="10"/>
        <v>-115.07673323747071</v>
      </c>
    </row>
    <row r="89" spans="1:12">
      <c r="A89">
        <v>4.9000000000000004</v>
      </c>
      <c r="B89" s="8">
        <f t="shared" si="1"/>
        <v>79432.823472428237</v>
      </c>
      <c r="C89" s="8">
        <f t="shared" si="2"/>
        <v>499091.14934975083</v>
      </c>
      <c r="D89" s="8" t="str">
        <f t="shared" si="3"/>
        <v>499091.149349751i</v>
      </c>
      <c r="E89" t="str">
        <f t="shared" si="0"/>
        <v>-0.248706837451056-0.0530898629451819i</v>
      </c>
      <c r="F89" s="8">
        <f t="shared" si="4"/>
        <v>-11.892727989466131</v>
      </c>
      <c r="G89">
        <f t="shared" si="5"/>
        <v>-167.95028487370107</v>
      </c>
      <c r="H89" t="str">
        <f t="shared" si="6"/>
        <v>3.0465397467428+4.00567080596784i</v>
      </c>
      <c r="I89">
        <f t="shared" si="7"/>
        <v>14.035803728855926</v>
      </c>
      <c r="J89">
        <f t="shared" si="8"/>
        <v>52.744953238110547</v>
      </c>
      <c r="K89" s="8">
        <f t="shared" si="9"/>
        <v>2.1430757393897952</v>
      </c>
      <c r="L89">
        <f t="shared" si="10"/>
        <v>-115.20533163559051</v>
      </c>
    </row>
    <row r="90" spans="1:12">
      <c r="A90">
        <v>5</v>
      </c>
      <c r="B90" s="8">
        <f t="shared" si="1"/>
        <v>100000</v>
      </c>
      <c r="C90" s="8">
        <f t="shared" si="2"/>
        <v>628318.53071795858</v>
      </c>
      <c r="D90" s="8" t="str">
        <f t="shared" si="3"/>
        <v>628318.530717959i</v>
      </c>
      <c r="E90" t="str">
        <f t="shared" si="0"/>
        <v>-0.155103096187036-0.0281494720846805i</v>
      </c>
      <c r="F90" s="8">
        <f t="shared" si="4"/>
        <v>-16.046847357522214</v>
      </c>
      <c r="G90">
        <f t="shared" si="5"/>
        <v>-169.71342383995878</v>
      </c>
      <c r="H90" t="str">
        <f t="shared" si="6"/>
        <v>3.66118936453315+4.94967601644407i</v>
      </c>
      <c r="I90">
        <f t="shared" si="7"/>
        <v>15.786804628989895</v>
      </c>
      <c r="J90">
        <f t="shared" si="8"/>
        <v>53.510310510998174</v>
      </c>
      <c r="K90" s="8">
        <f t="shared" si="9"/>
        <v>-0.26004272853231925</v>
      </c>
      <c r="L90">
        <f t="shared" si="10"/>
        <v>-116.2031133289606</v>
      </c>
    </row>
    <row r="91" spans="1:12">
      <c r="A91">
        <v>5.0999999999999996</v>
      </c>
      <c r="B91" s="8">
        <f t="shared" si="1"/>
        <v>125892.54117941685</v>
      </c>
      <c r="C91" s="8">
        <f t="shared" si="2"/>
        <v>791006.16502201289</v>
      </c>
      <c r="D91" s="8" t="str">
        <f t="shared" si="3"/>
        <v>791006.165022013i</v>
      </c>
      <c r="E91" t="str">
        <f t="shared" si="0"/>
        <v>-0.0971244489453415-0.0157213678981371i</v>
      </c>
      <c r="F91" s="8">
        <f t="shared" si="4"/>
        <v>-20.141102864667548</v>
      </c>
      <c r="G91">
        <f t="shared" si="5"/>
        <v>-170.80538075582243</v>
      </c>
      <c r="H91" t="str">
        <f t="shared" si="6"/>
        <v>4.56459021203852+5.9638798216786i</v>
      </c>
      <c r="I91">
        <f t="shared" si="7"/>
        <v>17.513048708289165</v>
      </c>
      <c r="J91">
        <f t="shared" si="8"/>
        <v>52.570546646314455</v>
      </c>
      <c r="K91" s="8">
        <f t="shared" si="9"/>
        <v>-2.6280541563783828</v>
      </c>
      <c r="L91">
        <f t="shared" si="10"/>
        <v>-118.23483410950797</v>
      </c>
    </row>
    <row r="92" spans="1:12">
      <c r="A92">
        <v>5.2</v>
      </c>
      <c r="B92" s="8">
        <f t="shared" si="1"/>
        <v>158489.31924611164</v>
      </c>
      <c r="C92" s="8">
        <f t="shared" si="2"/>
        <v>995817.76203206345</v>
      </c>
      <c r="D92" s="8" t="str">
        <f t="shared" si="3"/>
        <v>995817.762032063i</v>
      </c>
      <c r="E92" t="str">
        <f t="shared" si="0"/>
        <v>-0.0609841815037945-0.00927882200777148i</v>
      </c>
      <c r="F92" s="8">
        <f t="shared" si="4"/>
        <v>-24.196262861059488</v>
      </c>
      <c r="G92">
        <f t="shared" si="5"/>
        <v>-171.34872496894727</v>
      </c>
      <c r="H92" t="str">
        <f t="shared" si="6"/>
        <v>5.84179583438703+6.96027187805747i</v>
      </c>
      <c r="I92">
        <f t="shared" si="7"/>
        <v>19.168326102735911</v>
      </c>
      <c r="J92">
        <f t="shared" si="8"/>
        <v>49.993072272600685</v>
      </c>
      <c r="K92" s="8">
        <f t="shared" si="9"/>
        <v>-5.0279367583235768</v>
      </c>
      <c r="L92">
        <f t="shared" si="10"/>
        <v>-121.35565269634658</v>
      </c>
    </row>
    <row r="93" spans="1:12">
      <c r="A93">
        <v>5.3</v>
      </c>
      <c r="B93" s="8">
        <f t="shared" si="1"/>
        <v>199526.23149688813</v>
      </c>
      <c r="C93" s="8">
        <f t="shared" si="2"/>
        <v>1253660.2861381602</v>
      </c>
      <c r="D93" s="8" t="str">
        <f t="shared" si="3"/>
        <v>1253660.28613816i</v>
      </c>
      <c r="E93" t="str">
        <f t="shared" si="0"/>
        <v>-0.0383594306045266-0.00579844425791598i</v>
      </c>
      <c r="F93" s="8">
        <f t="shared" si="4"/>
        <v>-28.224439148072406</v>
      </c>
      <c r="G93">
        <f t="shared" si="5"/>
        <v>-171.40419709438186</v>
      </c>
      <c r="H93" t="str">
        <f t="shared" si="6"/>
        <v>7.55045663475309+7.78408116508931i</v>
      </c>
      <c r="I93">
        <f t="shared" si="7"/>
        <v>20.70412177900748</v>
      </c>
      <c r="J93">
        <f t="shared" si="8"/>
        <v>45.872844310170571</v>
      </c>
      <c r="K93" s="8">
        <f t="shared" si="9"/>
        <v>-7.5203173690649265</v>
      </c>
      <c r="L93">
        <f t="shared" si="10"/>
        <v>-125.53135278421129</v>
      </c>
    </row>
    <row r="94" spans="1:12">
      <c r="A94">
        <v>5.4</v>
      </c>
      <c r="B94" s="8">
        <f t="shared" si="1"/>
        <v>251188.64315095844</v>
      </c>
      <c r="C94" s="8">
        <f t="shared" si="2"/>
        <v>1578264.7919764782</v>
      </c>
      <c r="D94" s="8" t="str">
        <f t="shared" si="3"/>
        <v>1578264.79197648i</v>
      </c>
      <c r="E94" t="str">
        <f t="shared" si="0"/>
        <v>-0.0241556404639406-0.00382932352860916i</v>
      </c>
      <c r="F94" s="8">
        <f t="shared" si="4"/>
        <v>-32.231835871844858</v>
      </c>
      <c r="G94">
        <f t="shared" si="5"/>
        <v>-170.99202664336985</v>
      </c>
      <c r="H94" t="str">
        <f t="shared" si="6"/>
        <v>9.67117024448887+8.2210400641543i</v>
      </c>
      <c r="I94">
        <f t="shared" si="7"/>
        <v>22.071414573796847</v>
      </c>
      <c r="J94">
        <f t="shared" si="8"/>
        <v>40.366412226779119</v>
      </c>
      <c r="K94" s="8">
        <f t="shared" si="9"/>
        <v>-10.160421298048011</v>
      </c>
      <c r="L94">
        <f t="shared" si="10"/>
        <v>-130.62561441659074</v>
      </c>
    </row>
    <row r="95" spans="1:12">
      <c r="A95">
        <v>5.5</v>
      </c>
      <c r="B95" s="8">
        <f t="shared" si="1"/>
        <v>316227.7660168382</v>
      </c>
      <c r="C95" s="8">
        <f t="shared" si="2"/>
        <v>1986917.6531592219</v>
      </c>
      <c r="D95" s="8" t="str">
        <f t="shared" si="3"/>
        <v>1986917.65315922i</v>
      </c>
      <c r="E95" t="str">
        <f t="shared" si="0"/>
        <v>-0.0152222223213374-0.00265608645856386i</v>
      </c>
      <c r="F95" s="8">
        <f t="shared" si="4"/>
        <v>-36.220186987591177</v>
      </c>
      <c r="G95">
        <f t="shared" si="5"/>
        <v>-170.10225237166907</v>
      </c>
      <c r="H95" t="str">
        <f t="shared" si="6"/>
        <v>12.0610450651343+8.04764171157151i</v>
      </c>
      <c r="I95">
        <f t="shared" si="7"/>
        <v>23.227016007483083</v>
      </c>
      <c r="J95">
        <f t="shared" si="8"/>
        <v>33.712902144723621</v>
      </c>
      <c r="K95" s="8">
        <f t="shared" si="9"/>
        <v>-12.993170980108093</v>
      </c>
      <c r="L95">
        <f t="shared" si="10"/>
        <v>-136.38935022694545</v>
      </c>
    </row>
    <row r="96" spans="1:12">
      <c r="A96">
        <v>5.6</v>
      </c>
      <c r="B96" s="8">
        <f t="shared" si="1"/>
        <v>398107.17055349716</v>
      </c>
      <c r="C96" s="8">
        <f t="shared" si="2"/>
        <v>2501381.124704571</v>
      </c>
      <c r="D96" s="8" t="str">
        <f t="shared" si="3"/>
        <v>2501381.12470457i</v>
      </c>
      <c r="E96" t="str">
        <f t="shared" si="0"/>
        <v>-0.00959701735361425-0.00191763225525908i</v>
      </c>
      <c r="F96" s="8">
        <f t="shared" si="4"/>
        <v>-40.187249154045752</v>
      </c>
      <c r="G96">
        <f t="shared" si="5"/>
        <v>-168.70023562619588</v>
      </c>
      <c r="H96" t="str">
        <f t="shared" si="6"/>
        <v>14.4530114426962+7.11721873965308i</v>
      </c>
      <c r="I96">
        <f t="shared" si="7"/>
        <v>24.142115663968426</v>
      </c>
      <c r="J96">
        <f t="shared" si="8"/>
        <v>26.217408617238874</v>
      </c>
      <c r="K96" s="8">
        <f t="shared" si="9"/>
        <v>-16.045133490077326</v>
      </c>
      <c r="L96">
        <f t="shared" si="10"/>
        <v>-142.482827008957</v>
      </c>
    </row>
    <row r="97" spans="1:12">
      <c r="A97">
        <v>5.7</v>
      </c>
      <c r="B97" s="8">
        <f t="shared" si="1"/>
        <v>501187.23362727347</v>
      </c>
      <c r="C97" s="8">
        <f t="shared" si="2"/>
        <v>3149052.2624728675</v>
      </c>
      <c r="D97" s="8" t="str">
        <f t="shared" si="3"/>
        <v>3149052.26247287i</v>
      </c>
      <c r="E97" t="str">
        <f t="shared" si="0"/>
        <v>-0.00605229844607103-0.00142726546084148i</v>
      </c>
      <c r="F97" s="8">
        <f t="shared" si="4"/>
        <v>-44.126549932797133</v>
      </c>
      <c r="G97">
        <f t="shared" si="5"/>
        <v>-166.73082165489043</v>
      </c>
      <c r="H97" t="str">
        <f t="shared" si="6"/>
        <v>16.5237861381667+5.42990512967128i</v>
      </c>
      <c r="I97">
        <f t="shared" si="7"/>
        <v>24.807531988685668</v>
      </c>
      <c r="J97">
        <f t="shared" si="8"/>
        <v>18.191114696111381</v>
      </c>
      <c r="K97" s="8">
        <f t="shared" si="9"/>
        <v>-19.319017944111465</v>
      </c>
      <c r="L97">
        <f t="shared" si="10"/>
        <v>-148.53970695877905</v>
      </c>
    </row>
    <row r="98" spans="1:12">
      <c r="A98">
        <v>5.8</v>
      </c>
      <c r="B98" s="8">
        <f t="shared" si="1"/>
        <v>630957.34448019415</v>
      </c>
      <c r="C98" s="8">
        <f t="shared" si="2"/>
        <v>3964421.9162950045</v>
      </c>
      <c r="D98" s="8" t="str">
        <f t="shared" si="3"/>
        <v>3964421.916295i</v>
      </c>
      <c r="E98" t="str">
        <f t="shared" si="0"/>
        <v>-0.00381754325509852-0.00108573180520119i</v>
      </c>
      <c r="F98" s="8">
        <f t="shared" si="4"/>
        <v>-48.026518886270665</v>
      </c>
      <c r="G98">
        <f t="shared" si="5"/>
        <v>-164.12393555045543</v>
      </c>
      <c r="H98" t="str">
        <f t="shared" si="6"/>
        <v>17.991197652131+3.13277064020941i</v>
      </c>
      <c r="I98">
        <f t="shared" si="7"/>
        <v>25.230925108307293</v>
      </c>
      <c r="J98">
        <f t="shared" si="8"/>
        <v>9.8777591065165602</v>
      </c>
      <c r="K98" s="8">
        <f t="shared" si="9"/>
        <v>-22.795593777963372</v>
      </c>
      <c r="L98">
        <f t="shared" si="10"/>
        <v>-154.24617644393888</v>
      </c>
    </row>
    <row r="99" spans="1:12">
      <c r="A99">
        <v>5.9</v>
      </c>
      <c r="B99" s="8">
        <f t="shared" si="1"/>
        <v>794328.23472428333</v>
      </c>
      <c r="C99" s="8">
        <f t="shared" si="2"/>
        <v>4990911.4934975151</v>
      </c>
      <c r="D99" s="8" t="str">
        <f t="shared" si="3"/>
        <v>4990911.49349752i</v>
      </c>
      <c r="E99" t="str">
        <f t="shared" si="0"/>
        <v>-0.00240822952870506-0.000838412610703099i</v>
      </c>
      <c r="F99" s="8">
        <f t="shared" si="4"/>
        <v>-51.869192939198427</v>
      </c>
      <c r="G99">
        <f t="shared" si="5"/>
        <v>-160.804703007043</v>
      </c>
      <c r="H99" t="str">
        <f t="shared" si="6"/>
        <v>18.6727143793625+0.460367005404434i</v>
      </c>
      <c r="I99">
        <f t="shared" si="7"/>
        <v>25.426788123620984</v>
      </c>
      <c r="J99">
        <f t="shared" si="8"/>
        <v>1.4123144310051732</v>
      </c>
      <c r="K99" s="8">
        <f t="shared" si="9"/>
        <v>-26.442404815577444</v>
      </c>
      <c r="L99">
        <f t="shared" si="10"/>
        <v>-159.39238857603783</v>
      </c>
    </row>
    <row r="100" spans="1:12">
      <c r="A100">
        <v>6</v>
      </c>
      <c r="B100" s="8">
        <f t="shared" si="1"/>
        <v>1000000</v>
      </c>
      <c r="C100" s="8">
        <f t="shared" si="2"/>
        <v>6283185.307179586</v>
      </c>
      <c r="D100" s="8" t="str">
        <f t="shared" si="3"/>
        <v>6283185.30717959i</v>
      </c>
      <c r="E100" t="str">
        <f t="shared" si="0"/>
        <v>-0.00151930000788545-0.000653949906479984i</v>
      </c>
      <c r="F100" s="8">
        <f t="shared" si="4"/>
        <v>-55.628961305221523</v>
      </c>
      <c r="G100">
        <f t="shared" si="5"/>
        <v>-156.71158203804069</v>
      </c>
      <c r="H100" t="str">
        <f t="shared" si="6"/>
        <v>18.4862332476034-2.32372944501321i</v>
      </c>
      <c r="I100">
        <f t="shared" si="7"/>
        <v>25.405053324745253</v>
      </c>
      <c r="J100">
        <f t="shared" si="8"/>
        <v>-7.1645332401400923</v>
      </c>
      <c r="K100" s="8">
        <f t="shared" si="9"/>
        <v>-30.22390798047627</v>
      </c>
      <c r="L100">
        <f t="shared" si="10"/>
        <v>-163.87611527818078</v>
      </c>
    </row>
    <row r="101" spans="1:12">
      <c r="B101" s="8"/>
      <c r="C101" s="8"/>
      <c r="D101" s="8"/>
      <c r="F101" s="8"/>
    </row>
    <row r="102" spans="1:12">
      <c r="B102" s="8"/>
      <c r="C102" s="8"/>
      <c r="D102" s="8"/>
      <c r="F102" s="8"/>
    </row>
    <row r="103" spans="1:12">
      <c r="B103" s="8"/>
      <c r="C103" s="8"/>
      <c r="D103" s="8"/>
      <c r="F103" s="8"/>
    </row>
    <row r="104" spans="1:12">
      <c r="B104" s="8"/>
      <c r="C104" s="8"/>
      <c r="D104" s="8"/>
      <c r="F104" s="8"/>
    </row>
    <row r="105" spans="1:12">
      <c r="B105" s="8"/>
      <c r="C105" s="8"/>
      <c r="D105" s="8"/>
      <c r="F105" s="8"/>
    </row>
    <row r="106" spans="1:12">
      <c r="B106" s="8"/>
      <c r="C106" s="8"/>
      <c r="D106" s="8"/>
      <c r="F106" s="8"/>
    </row>
    <row r="107" spans="1:12">
      <c r="B107" s="8"/>
      <c r="C107" s="8"/>
      <c r="D107" s="8"/>
      <c r="F107" s="8"/>
    </row>
    <row r="108" spans="1:12">
      <c r="B108" s="8"/>
      <c r="C108" s="8"/>
      <c r="D108" s="8"/>
      <c r="F108" s="8"/>
    </row>
    <row r="109" spans="1:12">
      <c r="B109" s="8"/>
      <c r="C109" s="8"/>
      <c r="D109" s="8"/>
      <c r="F109" s="8"/>
    </row>
    <row r="110" spans="1:12">
      <c r="B110" s="8"/>
      <c r="C110" s="8"/>
      <c r="D110" s="8"/>
      <c r="F110" s="8"/>
    </row>
    <row r="111" spans="1:12">
      <c r="B111" s="8"/>
      <c r="C111" s="8"/>
      <c r="D111" s="8"/>
      <c r="F111" s="8"/>
    </row>
    <row r="112" spans="1:12">
      <c r="B112" s="8"/>
      <c r="C112" s="8"/>
      <c r="D112" s="8"/>
      <c r="F112" s="8"/>
    </row>
    <row r="113" spans="2:6">
      <c r="B113" s="8"/>
      <c r="C113" s="8"/>
      <c r="D113" s="8"/>
      <c r="F113" s="8"/>
    </row>
    <row r="114" spans="2:6">
      <c r="B114" s="8"/>
      <c r="C114" s="8"/>
      <c r="D114" s="8"/>
      <c r="F114" s="8"/>
    </row>
  </sheetData>
  <mergeCells count="6">
    <mergeCell ref="A33:J33"/>
    <mergeCell ref="A2:J3"/>
    <mergeCell ref="A22:J23"/>
    <mergeCell ref="A24:J24"/>
    <mergeCell ref="A4:J4"/>
    <mergeCell ref="A31:J32"/>
  </mergeCells>
  <pageMargins left="0.7" right="0.7" top="0.75" bottom="0.75" header="0.3" footer="0.3"/>
  <pageSetup orientation="portrait" horizontalDpi="1200" verticalDpi="1200" r:id="rId1"/>
  <ignoredErrors>
    <ignoredError sqref="D27" unlockedFormula="1"/>
  </ignoredErrors>
  <drawing r:id="rId2"/>
  <legacyDrawing r:id="rId3"/>
  <oleObjects>
    <mc:AlternateContent xmlns:mc="http://schemas.openxmlformats.org/markup-compatibility/2006">
      <mc:Choice Requires="x14">
        <oleObject progId="Visio.Drawing.11" shapeId="1025" r:id="rId4">
          <objectPr defaultSize="0" autoPict="0" r:id="rId5">
            <anchor moveWithCells="1">
              <from>
                <xdr:col>0</xdr:col>
                <xdr:colOff>0</xdr:colOff>
                <xdr:row>32</xdr:row>
                <xdr:rowOff>9525</xdr:rowOff>
              </from>
              <to>
                <xdr:col>8</xdr:col>
                <xdr:colOff>628650</xdr:colOff>
                <xdr:row>44</xdr:row>
                <xdr:rowOff>0</xdr:rowOff>
              </to>
            </anchor>
          </objectPr>
        </oleObject>
      </mc:Choice>
      <mc:Fallback>
        <oleObject progId="Visio.Drawing.11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00FC5EB6DFB94E919DDDAD76E52B63" ma:contentTypeVersion="25" ma:contentTypeDescription="Create a new document." ma:contentTypeScope="" ma:versionID="f64ae2a8763cd6ff767eb2c78662792d">
  <xsd:schema xmlns:xsd="http://www.w3.org/2001/XMLSchema" xmlns:xs="http://www.w3.org/2001/XMLSchema" xmlns:p="http://schemas.microsoft.com/office/2006/metadata/properties" xmlns:ns2="f4593742-caec-4aa5-8dc5-cff874ef0fcc" xmlns:ns3="368a069c-ac3d-4fb5-81c7-1165f7628170" targetNamespace="http://schemas.microsoft.com/office/2006/metadata/properties" ma:root="true" ma:fieldsID="1a8eb7de2cc522be73270178e30f1b51" ns2:_="" ns3:_="">
    <xsd:import namespace="f4593742-caec-4aa5-8dc5-cff874ef0fcc"/>
    <xsd:import namespace="368a069c-ac3d-4fb5-81c7-1165f76281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593742-caec-4aa5-8dc5-cff874ef0f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e729b7d-571e-49d8-aa37-3250588fd9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a069c-ac3d-4fb5-81c7-1165f76281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0b79b2a-aeae-407c-a67f-cc3d251286b0}" ma:internalName="TaxCatchAll" ma:showField="CatchAllData" ma:web="368a069c-ac3d-4fb5-81c7-1165f76281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593742-caec-4aa5-8dc5-cff874ef0fcc">
      <Terms xmlns="http://schemas.microsoft.com/office/infopath/2007/PartnerControls"/>
    </lcf76f155ced4ddcb4097134ff3c332f>
    <TaxCatchAll xmlns="368a069c-ac3d-4fb5-81c7-1165f7628170" xsi:nil="true"/>
  </documentManagement>
</p:properties>
</file>

<file path=customXml/itemProps1.xml><?xml version="1.0" encoding="utf-8"?>
<ds:datastoreItem xmlns:ds="http://schemas.openxmlformats.org/officeDocument/2006/customXml" ds:itemID="{F0435E20-0F70-4819-9A1B-884C9ECF156A}"/>
</file>

<file path=customXml/itemProps2.xml><?xml version="1.0" encoding="utf-8"?>
<ds:datastoreItem xmlns:ds="http://schemas.openxmlformats.org/officeDocument/2006/customXml" ds:itemID="{2A18AD0C-48F5-48DB-B84F-2395117626C2}"/>
</file>

<file path=customXml/itemProps3.xml><?xml version="1.0" encoding="utf-8"?>
<ds:datastoreItem xmlns:ds="http://schemas.openxmlformats.org/officeDocument/2006/customXml" ds:itemID="{8E518E98-644C-4C7B-A0DC-1C3832215B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Steve Cartier</cp:lastModifiedBy>
  <cp:revision/>
  <dcterms:created xsi:type="dcterms:W3CDTF">2006-09-16T00:00:00Z</dcterms:created>
  <dcterms:modified xsi:type="dcterms:W3CDTF">2022-12-02T22:45:24Z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0x010100DA00FC5EB6DFB94E919DDDAD76E52B63</vt:lpwstr>
  </property>
  <property fmtid="{D5CDD505-2E9C-101B-9397-08002B2CF9AE}" pid="3" name="_dlc_DocIdItemGuid">
    <vt:lpwstr>1be00e5a-2637-463c-92d8-13463af9cbc5</vt:lpwstr>
  </property>
  <property fmtid="{D5CDD505-2E9C-101B-9397-08002B2CF9AE}" pid="4" name="MediaServiceImageTags">
    <vt:lpwstr/>
  </property>
</Properties>
</file>