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N_HD\Products\0_LLC\NCP4390 NCV4390 FAN7688\Design Tool\"/>
    </mc:Choice>
  </mc:AlternateContent>
  <bookViews>
    <workbookView xWindow="-390" yWindow="870" windowWidth="12915" windowHeight="11760"/>
  </bookViews>
  <sheets>
    <sheet name="LLC Design Tool" sheetId="1" r:id="rId1"/>
    <sheet name="PeakGainCurve" sheetId="2" state="hidden" r:id="rId2"/>
    <sheet name="GainCurve" sheetId="3" state="hidden" r:id="rId3"/>
    <sheet name="ICS_attn_aprox" sheetId="4" state="hidden" r:id="rId4"/>
    <sheet name="Gvc_transfer_function" sheetId="5" state="hidden" r:id="rId5"/>
  </sheets>
  <definedNames>
    <definedName name="Ae">'LLC Design Tool'!$C$69</definedName>
    <definedName name="answer">'LLC Design Tool'!$C$20</definedName>
    <definedName name="Attn1">'LLC Design Tool'!$C$98</definedName>
    <definedName name="attn2">'LLC Design Tool'!$C$99</definedName>
    <definedName name="Bmax">'LLC Design Tool'!$C$70</definedName>
    <definedName name="BRIDGE">'LLC Design Tool'!$C$18</definedName>
    <definedName name="C.DT">'LLC Design Tool'!$C$126</definedName>
    <definedName name="Ccomp.HF">#REF!*10^-12</definedName>
    <definedName name="Ccomp.LF">#REF!*10^-12</definedName>
    <definedName name="Cdl">'LLC Design Tool'!$C$11</definedName>
    <definedName name="CICS">'LLC Design Tool'!$C$96</definedName>
    <definedName name="coef0">ICS_attn_aprox!$G$2</definedName>
    <definedName name="coef1">ICS_attn_aprox!$F$2</definedName>
    <definedName name="coef2">ICS_attn_aprox!$E$2</definedName>
    <definedName name="coef3">ICS_attn_aprox!$D$2</definedName>
    <definedName name="coef4">ICS_attn_aprox!$C$2</definedName>
    <definedName name="Cout">'LLC Design Tool'!$C$83</definedName>
    <definedName name="Cr">'LLC Design Tool'!$G$37</definedName>
    <definedName name="Crd">'LLC Design Tool'!$C$39</definedName>
    <definedName name="Eff">'LLC Design Tool'!$C$8</definedName>
    <definedName name="ESR">'LLC Design Tool'!$C$84</definedName>
    <definedName name="f_min">'LLC Design Tool'!$C$77</definedName>
    <definedName name="f_min.curve">GainCurve!$I$3</definedName>
    <definedName name="f_min.RFMIN">'LLC Design Tool'!$C$111</definedName>
    <definedName name="fo">'LLC Design Tool'!$G$41</definedName>
    <definedName name="fod">'LLC Design Tool'!$C$37</definedName>
    <definedName name="fs_nrm">'LLC Design Tool'!$C$76</definedName>
    <definedName name="gm">#REF!*10^-6</definedName>
    <definedName name="I.PR.ocp">'LLC Design Tool'!$C$88</definedName>
    <definedName name="Io">'LLC Design Tool'!$C$7</definedName>
    <definedName name="Io.olp">'LLC Design Tool'!$C$89</definedName>
    <definedName name="Iocp">'LLC Design Tool'!$C$75</definedName>
    <definedName name="k">1000</definedName>
    <definedName name="kramp">Gvc_transfer_function!$B$3</definedName>
    <definedName name="Lp">'LLC Design Tool'!$G$39</definedName>
    <definedName name="Lr">'LLC Design Tool'!$G$38</definedName>
    <definedName name="Lrd">'LLC Design Tool'!$C$40</definedName>
    <definedName name="m">0.001</definedName>
    <definedName name="M_min">'LLC Design Tool'!$C$26</definedName>
    <definedName name="Ma">'LLC Design Tool'!$G$42</definedName>
    <definedName name="Max_Gain_required">'LLC Design Tool'!$C$27</definedName>
    <definedName name="MC">GainCurve!$B$5</definedName>
    <definedName name="mm">'LLC Design Tool'!$C$14</definedName>
    <definedName name="Mv">GainCurve!$B$5</definedName>
    <definedName name="n">'LLC Design Tool'!$G$4</definedName>
    <definedName name="nct">'LLC Design Tool'!$C$90</definedName>
    <definedName name="nn">'LLC Design Tool'!$G$30</definedName>
    <definedName name="Np">'LLC Design Tool'!$G$70</definedName>
    <definedName name="Ns">'LLC Design Tool'!$C$72</definedName>
    <definedName name="Pin">'LLC Design Tool'!$G$7</definedName>
    <definedName name="Po">'LLC Design Tool'!$G$6</definedName>
    <definedName name="Q">'LLC Design Tool'!$G$40</definedName>
    <definedName name="Q.e">GainCurve!$B$4</definedName>
    <definedName name="Qd">'LLC Design Tool'!$C$38</definedName>
    <definedName name="R.DT">'LLC Design Tool'!$C$127</definedName>
    <definedName name="R_load">Gvc_transfer_function!$B$4</definedName>
    <definedName name="Rac">'LLC Design Tool'!$G$33</definedName>
    <definedName name="Rac.e">GainCurve!$B$3</definedName>
    <definedName name="Rcomp">#REF!*10^3</definedName>
    <definedName name="RCS">'LLC Design Tool'!$C$92</definedName>
    <definedName name="RECTIFIER">'LLC Design Tool'!$C$19</definedName>
    <definedName name="RICS">'LLC Design Tool'!$C$101</definedName>
    <definedName name="RSLP">'LLC Design Tool'!$C$97</definedName>
    <definedName name="Thu">'LLC Design Tool'!$C$10</definedName>
    <definedName name="u">'LLC Design Tool'!$G$3</definedName>
    <definedName name="VCOMP.PWM">'LLC Design Tool'!$C$115</definedName>
    <definedName name="VF">'LLC Design Tool'!$C$30</definedName>
    <definedName name="VICS.SLP">'LLC Design Tool'!$C$100</definedName>
    <definedName name="Vin_max">'LLC Design Tool'!$C$9</definedName>
    <definedName name="Vin_min">'LLC Design Tool'!$G$9</definedName>
    <definedName name="Vo">'LLC Design Tool'!$C$6</definedName>
    <definedName name="wm">GainCurve!$D$11</definedName>
    <definedName name="wo">GainCurve!$B$1</definedName>
    <definedName name="wp">GainCurve!$B$2</definedName>
  </definedNames>
  <calcPr calcId="162913" concurrentCalc="0"/>
</workbook>
</file>

<file path=xl/calcChain.xml><?xml version="1.0" encoding="utf-8"?>
<calcChain xmlns="http://schemas.openxmlformats.org/spreadsheetml/2006/main">
  <c r="A111" i="3" l="1"/>
  <c r="B111" i="3"/>
  <c r="C111" i="3"/>
  <c r="D111" i="3"/>
  <c r="E111" i="3"/>
  <c r="F111" i="3"/>
  <c r="G111" i="3"/>
  <c r="H111" i="3"/>
  <c r="I111" i="3"/>
  <c r="A112" i="3"/>
  <c r="B112" i="3"/>
  <c r="C112" i="3"/>
  <c r="D112" i="3"/>
  <c r="E112" i="3"/>
  <c r="F112" i="3"/>
  <c r="G112" i="3"/>
  <c r="H112" i="3"/>
  <c r="I112" i="3"/>
  <c r="A113" i="3"/>
  <c r="B113" i="3"/>
  <c r="C113" i="3"/>
  <c r="D113" i="3"/>
  <c r="E113" i="3"/>
  <c r="F113" i="3"/>
  <c r="G113" i="3"/>
  <c r="H113" i="3"/>
  <c r="I113" i="3"/>
  <c r="A114" i="3"/>
  <c r="B114" i="3"/>
  <c r="C114" i="3"/>
  <c r="D114" i="3"/>
  <c r="E114" i="3"/>
  <c r="F114" i="3"/>
  <c r="G114" i="3"/>
  <c r="H114" i="3"/>
  <c r="I114" i="3"/>
  <c r="A115" i="3"/>
  <c r="B115" i="3"/>
  <c r="C115" i="3"/>
  <c r="D115" i="3"/>
  <c r="E115" i="3"/>
  <c r="F115" i="3"/>
  <c r="G115" i="3"/>
  <c r="H115" i="3"/>
  <c r="I115" i="3"/>
  <c r="A116" i="3"/>
  <c r="B116" i="3"/>
  <c r="C116" i="3"/>
  <c r="D116" i="3"/>
  <c r="E116" i="3"/>
  <c r="F116" i="3"/>
  <c r="G116" i="3"/>
  <c r="H116" i="3"/>
  <c r="I116" i="3"/>
  <c r="A117" i="3"/>
  <c r="B117" i="3"/>
  <c r="C117" i="3"/>
  <c r="D117" i="3"/>
  <c r="E117" i="3"/>
  <c r="F117" i="3"/>
  <c r="G117" i="3"/>
  <c r="H117" i="3"/>
  <c r="I117" i="3"/>
  <c r="A118" i="3"/>
  <c r="B118" i="3"/>
  <c r="C118" i="3"/>
  <c r="D118" i="3"/>
  <c r="E118" i="3"/>
  <c r="F118" i="3"/>
  <c r="G118" i="3"/>
  <c r="H118" i="3"/>
  <c r="I118" i="3"/>
  <c r="A119" i="3"/>
  <c r="B119" i="3"/>
  <c r="C119" i="3"/>
  <c r="D119" i="3"/>
  <c r="E119" i="3"/>
  <c r="F119" i="3"/>
  <c r="G119" i="3"/>
  <c r="H119" i="3"/>
  <c r="I119" i="3"/>
  <c r="A120" i="3"/>
  <c r="B120" i="3"/>
  <c r="C120" i="3"/>
  <c r="D120" i="3"/>
  <c r="E120" i="3"/>
  <c r="F120" i="3"/>
  <c r="G120" i="3"/>
  <c r="H120" i="3"/>
  <c r="I120" i="3"/>
  <c r="A121" i="3"/>
  <c r="B121" i="3"/>
  <c r="C121" i="3"/>
  <c r="D121" i="3"/>
  <c r="E121" i="3"/>
  <c r="F121" i="3"/>
  <c r="G121" i="3"/>
  <c r="H121" i="3"/>
  <c r="I121" i="3"/>
  <c r="A122" i="3"/>
  <c r="B122" i="3"/>
  <c r="C122" i="3"/>
  <c r="D122" i="3"/>
  <c r="E122" i="3"/>
  <c r="F122" i="3"/>
  <c r="G122" i="3"/>
  <c r="H122" i="3"/>
  <c r="I122" i="3"/>
  <c r="A123" i="3"/>
  <c r="B123" i="3"/>
  <c r="C123" i="3"/>
  <c r="D123" i="3"/>
  <c r="E123" i="3"/>
  <c r="F123" i="3"/>
  <c r="G123" i="3"/>
  <c r="H123" i="3"/>
  <c r="I123" i="3"/>
  <c r="A124" i="3"/>
  <c r="B124" i="3"/>
  <c r="C124" i="3"/>
  <c r="D124" i="3"/>
  <c r="E124" i="3"/>
  <c r="F124" i="3"/>
  <c r="G124" i="3"/>
  <c r="H124" i="3"/>
  <c r="I124" i="3"/>
  <c r="A125" i="3"/>
  <c r="B125" i="3"/>
  <c r="C125" i="3"/>
  <c r="D125" i="3"/>
  <c r="E125" i="3"/>
  <c r="F125" i="3"/>
  <c r="G125" i="3"/>
  <c r="H125" i="3"/>
  <c r="I125" i="3"/>
  <c r="C39" i="1"/>
  <c r="G30" i="1"/>
  <c r="G6" i="1"/>
  <c r="C21" i="1"/>
  <c r="G33" i="1"/>
  <c r="G42" i="1"/>
  <c r="B5" i="3"/>
  <c r="B3" i="3"/>
  <c r="G40" i="1"/>
  <c r="B24" i="5"/>
  <c r="B4" i="5"/>
  <c r="B12" i="5"/>
  <c r="B14" i="5"/>
  <c r="B9" i="5"/>
  <c r="G41" i="1"/>
  <c r="B7" i="5"/>
  <c r="B10" i="5"/>
  <c r="B21" i="5"/>
  <c r="B22" i="5"/>
  <c r="B16" i="5"/>
  <c r="B18" i="5"/>
  <c r="B17" i="5"/>
  <c r="B15" i="5"/>
  <c r="B13" i="5"/>
  <c r="B11" i="5"/>
  <c r="B8" i="5"/>
  <c r="B2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10" i="5"/>
  <c r="C89" i="1"/>
  <c r="C100" i="1"/>
  <c r="L103" i="1"/>
  <c r="C101" i="1"/>
  <c r="B2" i="5"/>
  <c r="B3" i="5"/>
  <c r="B6" i="5"/>
  <c r="B5" i="5"/>
  <c r="G70" i="1"/>
  <c r="C116" i="1"/>
  <c r="C123" i="1"/>
  <c r="C125" i="1"/>
  <c r="C122" i="1"/>
  <c r="C124" i="1"/>
  <c r="G78" i="1"/>
  <c r="G77" i="1"/>
  <c r="G76" i="1"/>
  <c r="G7" i="1"/>
  <c r="C95" i="1"/>
  <c r="C99" i="1"/>
  <c r="C102" i="1"/>
  <c r="C98" i="1"/>
  <c r="L101" i="1"/>
  <c r="L102" i="1"/>
  <c r="F101" i="1"/>
  <c r="G43" i="1"/>
  <c r="G75" i="1"/>
  <c r="C40" i="1"/>
  <c r="C117" i="1"/>
  <c r="C118" i="1"/>
  <c r="A8" i="3"/>
  <c r="B8" i="3"/>
  <c r="B1" i="3"/>
  <c r="B2" i="3"/>
  <c r="B4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A15" i="3"/>
  <c r="B15" i="3"/>
  <c r="C15" i="3"/>
  <c r="A16" i="3"/>
  <c r="B16" i="3"/>
  <c r="C16" i="3"/>
  <c r="A17" i="3"/>
  <c r="B17" i="3"/>
  <c r="C17" i="3"/>
  <c r="A18" i="3"/>
  <c r="B18" i="3"/>
  <c r="C18" i="3"/>
  <c r="A19" i="3"/>
  <c r="B19" i="3"/>
  <c r="C19" i="3"/>
  <c r="A20" i="3"/>
  <c r="B20" i="3"/>
  <c r="C20" i="3"/>
  <c r="A21" i="3"/>
  <c r="B21" i="3"/>
  <c r="C21" i="3"/>
  <c r="A22" i="3"/>
  <c r="B22" i="3"/>
  <c r="C22" i="3"/>
  <c r="A23" i="3"/>
  <c r="B23" i="3"/>
  <c r="C23" i="3"/>
  <c r="A24" i="3"/>
  <c r="B24" i="3"/>
  <c r="C24" i="3"/>
  <c r="A25" i="3"/>
  <c r="B25" i="3"/>
  <c r="C25" i="3"/>
  <c r="A26" i="3"/>
  <c r="B26" i="3"/>
  <c r="C26" i="3"/>
  <c r="A27" i="3"/>
  <c r="B27" i="3"/>
  <c r="C27" i="3"/>
  <c r="A28" i="3"/>
  <c r="B28" i="3"/>
  <c r="C28" i="3"/>
  <c r="A29" i="3"/>
  <c r="B29" i="3"/>
  <c r="C29" i="3"/>
  <c r="A30" i="3"/>
  <c r="B30" i="3"/>
  <c r="C30" i="3"/>
  <c r="A31" i="3"/>
  <c r="B31" i="3"/>
  <c r="C31" i="3"/>
  <c r="A32" i="3"/>
  <c r="B32" i="3"/>
  <c r="C32" i="3"/>
  <c r="A33" i="3"/>
  <c r="B33" i="3"/>
  <c r="C33" i="3"/>
  <c r="A34" i="3"/>
  <c r="B34" i="3"/>
  <c r="C34" i="3"/>
  <c r="A35" i="3"/>
  <c r="B35" i="3"/>
  <c r="C35" i="3"/>
  <c r="A36" i="3"/>
  <c r="B36" i="3"/>
  <c r="C36" i="3"/>
  <c r="A37" i="3"/>
  <c r="B37" i="3"/>
  <c r="C37" i="3"/>
  <c r="A38" i="3"/>
  <c r="B38" i="3"/>
  <c r="C38" i="3"/>
  <c r="A39" i="3"/>
  <c r="B39" i="3"/>
  <c r="C39" i="3"/>
  <c r="A40" i="3"/>
  <c r="B40" i="3"/>
  <c r="C40" i="3"/>
  <c r="A41" i="3"/>
  <c r="B41" i="3"/>
  <c r="C41" i="3"/>
  <c r="A42" i="3"/>
  <c r="B42" i="3"/>
  <c r="C42" i="3"/>
  <c r="A43" i="3"/>
  <c r="B43" i="3"/>
  <c r="C43" i="3"/>
  <c r="A44" i="3"/>
  <c r="B44" i="3"/>
  <c r="C44" i="3"/>
  <c r="A45" i="3"/>
  <c r="B45" i="3"/>
  <c r="C45" i="3"/>
  <c r="A46" i="3"/>
  <c r="B46" i="3"/>
  <c r="C46" i="3"/>
  <c r="A47" i="3"/>
  <c r="B47" i="3"/>
  <c r="C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A59" i="3"/>
  <c r="B59" i="3"/>
  <c r="C59" i="3"/>
  <c r="A60" i="3"/>
  <c r="B60" i="3"/>
  <c r="C60" i="3"/>
  <c r="A61" i="3"/>
  <c r="B61" i="3"/>
  <c r="C61" i="3"/>
  <c r="A62" i="3"/>
  <c r="B62" i="3"/>
  <c r="C62" i="3"/>
  <c r="A63" i="3"/>
  <c r="B63" i="3"/>
  <c r="C63" i="3"/>
  <c r="A64" i="3"/>
  <c r="B64" i="3"/>
  <c r="C64" i="3"/>
  <c r="A65" i="3"/>
  <c r="B65" i="3"/>
  <c r="C65" i="3"/>
  <c r="A66" i="3"/>
  <c r="B66" i="3"/>
  <c r="C66" i="3"/>
  <c r="A67" i="3"/>
  <c r="B67" i="3"/>
  <c r="C67" i="3"/>
  <c r="A68" i="3"/>
  <c r="B68" i="3"/>
  <c r="C68" i="3"/>
  <c r="A69" i="3"/>
  <c r="B69" i="3"/>
  <c r="C69" i="3"/>
  <c r="A70" i="3"/>
  <c r="B70" i="3"/>
  <c r="C70" i="3"/>
  <c r="A71" i="3"/>
  <c r="B71" i="3"/>
  <c r="C71" i="3"/>
  <c r="A72" i="3"/>
  <c r="B72" i="3"/>
  <c r="C72" i="3"/>
  <c r="A73" i="3"/>
  <c r="B73" i="3"/>
  <c r="C73" i="3"/>
  <c r="A74" i="3"/>
  <c r="B74" i="3"/>
  <c r="C74" i="3"/>
  <c r="A75" i="3"/>
  <c r="B75" i="3"/>
  <c r="C75" i="3"/>
  <c r="A76" i="3"/>
  <c r="B76" i="3"/>
  <c r="C76" i="3"/>
  <c r="A77" i="3"/>
  <c r="B77" i="3"/>
  <c r="C77" i="3"/>
  <c r="A78" i="3"/>
  <c r="B78" i="3"/>
  <c r="C78" i="3"/>
  <c r="A79" i="3"/>
  <c r="B79" i="3"/>
  <c r="C79" i="3"/>
  <c r="A80" i="3"/>
  <c r="B80" i="3"/>
  <c r="C80" i="3"/>
  <c r="A81" i="3"/>
  <c r="B81" i="3"/>
  <c r="C81" i="3"/>
  <c r="A82" i="3"/>
  <c r="B82" i="3"/>
  <c r="C82" i="3"/>
  <c r="A83" i="3"/>
  <c r="B83" i="3"/>
  <c r="C83" i="3"/>
  <c r="A84" i="3"/>
  <c r="B84" i="3"/>
  <c r="C84" i="3"/>
  <c r="A85" i="3"/>
  <c r="B85" i="3"/>
  <c r="C85" i="3"/>
  <c r="A86" i="3"/>
  <c r="B86" i="3"/>
  <c r="C86" i="3"/>
  <c r="A87" i="3"/>
  <c r="B87" i="3"/>
  <c r="C87" i="3"/>
  <c r="A88" i="3"/>
  <c r="B88" i="3"/>
  <c r="C88" i="3"/>
  <c r="A89" i="3"/>
  <c r="B89" i="3"/>
  <c r="C89" i="3"/>
  <c r="A90" i="3"/>
  <c r="B90" i="3"/>
  <c r="C90" i="3"/>
  <c r="A91" i="3"/>
  <c r="B91" i="3"/>
  <c r="C91" i="3"/>
  <c r="A92" i="3"/>
  <c r="B92" i="3"/>
  <c r="C92" i="3"/>
  <c r="A93" i="3"/>
  <c r="B93" i="3"/>
  <c r="C93" i="3"/>
  <c r="A94" i="3"/>
  <c r="B94" i="3"/>
  <c r="C94" i="3"/>
  <c r="A95" i="3"/>
  <c r="B95" i="3"/>
  <c r="C95" i="3"/>
  <c r="A96" i="3"/>
  <c r="B96" i="3"/>
  <c r="C96" i="3"/>
  <c r="A97" i="3"/>
  <c r="B97" i="3"/>
  <c r="C97" i="3"/>
  <c r="A98" i="3"/>
  <c r="B98" i="3"/>
  <c r="C98" i="3"/>
  <c r="A99" i="3"/>
  <c r="B99" i="3"/>
  <c r="C99" i="3"/>
  <c r="A100" i="3"/>
  <c r="B100" i="3"/>
  <c r="C100" i="3"/>
  <c r="A101" i="3"/>
  <c r="B101" i="3"/>
  <c r="C101" i="3"/>
  <c r="A102" i="3"/>
  <c r="B102" i="3"/>
  <c r="C102" i="3"/>
  <c r="A103" i="3"/>
  <c r="B103" i="3"/>
  <c r="C103" i="3"/>
  <c r="A104" i="3"/>
  <c r="B104" i="3"/>
  <c r="C104" i="3"/>
  <c r="A105" i="3"/>
  <c r="B105" i="3"/>
  <c r="C105" i="3"/>
  <c r="A106" i="3"/>
  <c r="B106" i="3"/>
  <c r="C106" i="3"/>
  <c r="A107" i="3"/>
  <c r="B107" i="3"/>
  <c r="C107" i="3"/>
  <c r="A108" i="3"/>
  <c r="B108" i="3"/>
  <c r="C108" i="3"/>
  <c r="A109" i="3"/>
  <c r="B109" i="3"/>
  <c r="C109" i="3"/>
  <c r="A110" i="3"/>
  <c r="B110" i="3"/>
  <c r="C110" i="3"/>
  <c r="I3" i="3"/>
  <c r="L9" i="3"/>
  <c r="C27" i="1"/>
  <c r="M9" i="3"/>
  <c r="L8" i="3"/>
  <c r="C78" i="1"/>
  <c r="G44" i="1"/>
  <c r="I2" i="3"/>
  <c r="I1" i="3"/>
  <c r="C5" i="4"/>
  <c r="C6" i="4"/>
  <c r="C7" i="4"/>
  <c r="C8" i="4"/>
  <c r="C9" i="4"/>
  <c r="C10" i="4"/>
  <c r="C11" i="4"/>
  <c r="C12" i="4"/>
  <c r="C4" i="4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8" i="3"/>
  <c r="C93" i="1"/>
  <c r="G84" i="1"/>
  <c r="G83" i="1"/>
  <c r="G82" i="1"/>
  <c r="G72" i="1"/>
  <c r="G71" i="1"/>
  <c r="G69" i="1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D52" i="3"/>
  <c r="E52" i="3"/>
  <c r="F52" i="3"/>
  <c r="G52" i="3"/>
  <c r="D53" i="3"/>
  <c r="E53" i="3"/>
  <c r="F53" i="3"/>
  <c r="G53" i="3"/>
  <c r="D54" i="3"/>
  <c r="E54" i="3"/>
  <c r="F54" i="3"/>
  <c r="G54" i="3"/>
  <c r="D55" i="3"/>
  <c r="E55" i="3"/>
  <c r="F55" i="3"/>
  <c r="G55" i="3"/>
  <c r="D56" i="3"/>
  <c r="E56" i="3"/>
  <c r="F56" i="3"/>
  <c r="G56" i="3"/>
  <c r="D57" i="3"/>
  <c r="E57" i="3"/>
  <c r="F57" i="3"/>
  <c r="G57" i="3"/>
  <c r="D58" i="3"/>
  <c r="E58" i="3"/>
  <c r="F58" i="3"/>
  <c r="G58" i="3"/>
  <c r="D59" i="3"/>
  <c r="E59" i="3"/>
  <c r="F59" i="3"/>
  <c r="G59" i="3"/>
  <c r="D60" i="3"/>
  <c r="E60" i="3"/>
  <c r="F60" i="3"/>
  <c r="G60" i="3"/>
  <c r="D61" i="3"/>
  <c r="E61" i="3"/>
  <c r="F61" i="3"/>
  <c r="G61" i="3"/>
  <c r="D62" i="3"/>
  <c r="E62" i="3"/>
  <c r="F62" i="3"/>
  <c r="G62" i="3"/>
  <c r="D63" i="3"/>
  <c r="E63" i="3"/>
  <c r="F63" i="3"/>
  <c r="G63" i="3"/>
  <c r="D64" i="3"/>
  <c r="E64" i="3"/>
  <c r="F64" i="3"/>
  <c r="G64" i="3"/>
  <c r="D65" i="3"/>
  <c r="E65" i="3"/>
  <c r="F65" i="3"/>
  <c r="G65" i="3"/>
  <c r="D66" i="3"/>
  <c r="E66" i="3"/>
  <c r="F66" i="3"/>
  <c r="G66" i="3"/>
  <c r="D67" i="3"/>
  <c r="E67" i="3"/>
  <c r="F67" i="3"/>
  <c r="G67" i="3"/>
  <c r="D68" i="3"/>
  <c r="E68" i="3"/>
  <c r="F68" i="3"/>
  <c r="G68" i="3"/>
  <c r="D69" i="3"/>
  <c r="E69" i="3"/>
  <c r="F69" i="3"/>
  <c r="G69" i="3"/>
  <c r="D70" i="3"/>
  <c r="E70" i="3"/>
  <c r="F70" i="3"/>
  <c r="G70" i="3"/>
  <c r="D71" i="3"/>
  <c r="E71" i="3"/>
  <c r="F71" i="3"/>
  <c r="G71" i="3"/>
  <c r="D72" i="3"/>
  <c r="E72" i="3"/>
  <c r="F72" i="3"/>
  <c r="G72" i="3"/>
  <c r="D73" i="3"/>
  <c r="E73" i="3"/>
  <c r="F73" i="3"/>
  <c r="G73" i="3"/>
  <c r="D74" i="3"/>
  <c r="E74" i="3"/>
  <c r="F74" i="3"/>
  <c r="G74" i="3"/>
  <c r="D75" i="3"/>
  <c r="E75" i="3"/>
  <c r="F75" i="3"/>
  <c r="G75" i="3"/>
  <c r="D76" i="3"/>
  <c r="E76" i="3"/>
  <c r="F76" i="3"/>
  <c r="G76" i="3"/>
  <c r="D77" i="3"/>
  <c r="E77" i="3"/>
  <c r="F77" i="3"/>
  <c r="G77" i="3"/>
  <c r="D78" i="3"/>
  <c r="E78" i="3"/>
  <c r="F78" i="3"/>
  <c r="G78" i="3"/>
  <c r="D79" i="3"/>
  <c r="E79" i="3"/>
  <c r="F79" i="3"/>
  <c r="G79" i="3"/>
  <c r="D80" i="3"/>
  <c r="E80" i="3"/>
  <c r="F80" i="3"/>
  <c r="G80" i="3"/>
  <c r="D81" i="3"/>
  <c r="E81" i="3"/>
  <c r="F81" i="3"/>
  <c r="G81" i="3"/>
  <c r="D82" i="3"/>
  <c r="E82" i="3"/>
  <c r="F82" i="3"/>
  <c r="G82" i="3"/>
  <c r="D83" i="3"/>
  <c r="E83" i="3"/>
  <c r="F83" i="3"/>
  <c r="G83" i="3"/>
  <c r="D84" i="3"/>
  <c r="E84" i="3"/>
  <c r="F84" i="3"/>
  <c r="G84" i="3"/>
  <c r="D85" i="3"/>
  <c r="E85" i="3"/>
  <c r="F85" i="3"/>
  <c r="G85" i="3"/>
  <c r="D86" i="3"/>
  <c r="E86" i="3"/>
  <c r="F86" i="3"/>
  <c r="G86" i="3"/>
  <c r="D87" i="3"/>
  <c r="E87" i="3"/>
  <c r="F87" i="3"/>
  <c r="G87" i="3"/>
  <c r="D88" i="3"/>
  <c r="E88" i="3"/>
  <c r="F88" i="3"/>
  <c r="G88" i="3"/>
  <c r="D89" i="3"/>
  <c r="E89" i="3"/>
  <c r="F89" i="3"/>
  <c r="G89" i="3"/>
  <c r="D90" i="3"/>
  <c r="E90" i="3"/>
  <c r="F90" i="3"/>
  <c r="G90" i="3"/>
  <c r="D91" i="3"/>
  <c r="E91" i="3"/>
  <c r="F91" i="3"/>
  <c r="G91" i="3"/>
  <c r="D92" i="3"/>
  <c r="E92" i="3"/>
  <c r="F92" i="3"/>
  <c r="G92" i="3"/>
  <c r="D93" i="3"/>
  <c r="E93" i="3"/>
  <c r="F93" i="3"/>
  <c r="G93" i="3"/>
  <c r="D94" i="3"/>
  <c r="E94" i="3"/>
  <c r="F94" i="3"/>
  <c r="G94" i="3"/>
  <c r="D95" i="3"/>
  <c r="E95" i="3"/>
  <c r="F95" i="3"/>
  <c r="G95" i="3"/>
  <c r="D96" i="3"/>
  <c r="E96" i="3"/>
  <c r="F96" i="3"/>
  <c r="G96" i="3"/>
  <c r="D97" i="3"/>
  <c r="E97" i="3"/>
  <c r="F97" i="3"/>
  <c r="G97" i="3"/>
  <c r="D98" i="3"/>
  <c r="E98" i="3"/>
  <c r="F98" i="3"/>
  <c r="G98" i="3"/>
  <c r="D99" i="3"/>
  <c r="E99" i="3"/>
  <c r="F99" i="3"/>
  <c r="G99" i="3"/>
  <c r="D100" i="3"/>
  <c r="E100" i="3"/>
  <c r="F100" i="3"/>
  <c r="G100" i="3"/>
  <c r="D101" i="3"/>
  <c r="E101" i="3"/>
  <c r="F101" i="3"/>
  <c r="G101" i="3"/>
  <c r="D102" i="3"/>
  <c r="E102" i="3"/>
  <c r="F102" i="3"/>
  <c r="G102" i="3"/>
  <c r="D103" i="3"/>
  <c r="E103" i="3"/>
  <c r="F103" i="3"/>
  <c r="G103" i="3"/>
  <c r="D104" i="3"/>
  <c r="E104" i="3"/>
  <c r="F104" i="3"/>
  <c r="G104" i="3"/>
  <c r="D105" i="3"/>
  <c r="E105" i="3"/>
  <c r="F105" i="3"/>
  <c r="G105" i="3"/>
  <c r="D106" i="3"/>
  <c r="E106" i="3"/>
  <c r="F106" i="3"/>
  <c r="G106" i="3"/>
  <c r="D107" i="3"/>
  <c r="E107" i="3"/>
  <c r="F107" i="3"/>
  <c r="G107" i="3"/>
  <c r="D108" i="3"/>
  <c r="E108" i="3"/>
  <c r="F108" i="3"/>
  <c r="G108" i="3"/>
  <c r="D109" i="3"/>
  <c r="E109" i="3"/>
  <c r="F109" i="3"/>
  <c r="G109" i="3"/>
  <c r="D110" i="3"/>
  <c r="E110" i="3"/>
  <c r="F110" i="3"/>
  <c r="G110" i="3"/>
  <c r="G8" i="3"/>
  <c r="F8" i="3"/>
  <c r="E8" i="3"/>
  <c r="D8" i="3"/>
  <c r="P19" i="3"/>
  <c r="R28" i="2"/>
  <c r="R29" i="2"/>
  <c r="R30" i="2"/>
  <c r="R31" i="2"/>
  <c r="R32" i="2"/>
  <c r="R33" i="2"/>
  <c r="R34" i="2"/>
  <c r="R35" i="2"/>
  <c r="R36" i="2"/>
  <c r="R37" i="2"/>
  <c r="R38" i="2"/>
  <c r="R39" i="2"/>
  <c r="C94" i="1"/>
  <c r="Q39" i="2"/>
  <c r="Q38" i="2"/>
  <c r="Q37" i="2"/>
  <c r="Q36" i="2"/>
  <c r="Q35" i="2"/>
  <c r="Q34" i="2"/>
  <c r="Q33" i="2"/>
  <c r="Q32" i="2"/>
  <c r="Q31" i="2"/>
  <c r="Q30" i="2"/>
  <c r="Q29" i="2"/>
  <c r="Q28" i="2"/>
  <c r="P28" i="2"/>
  <c r="P29" i="2"/>
  <c r="P30" i="2"/>
  <c r="P31" i="2"/>
  <c r="P32" i="2"/>
  <c r="P33" i="2"/>
  <c r="P34" i="2"/>
  <c r="P35" i="2"/>
  <c r="P36" i="2"/>
  <c r="P37" i="2"/>
  <c r="P38" i="2"/>
  <c r="P39" i="2"/>
  <c r="O39" i="2"/>
  <c r="O38" i="2"/>
  <c r="O37" i="2"/>
  <c r="O36" i="2"/>
  <c r="O35" i="2"/>
  <c r="O34" i="2"/>
  <c r="O33" i="2"/>
  <c r="O32" i="2"/>
  <c r="O31" i="2"/>
  <c r="O30" i="2"/>
  <c r="O29" i="2"/>
  <c r="O28" i="2"/>
  <c r="P28" i="3"/>
  <c r="P22" i="3"/>
  <c r="P21" i="3"/>
  <c r="P17" i="3"/>
  <c r="P16" i="3"/>
  <c r="D1" i="3"/>
  <c r="N39" i="2"/>
  <c r="M39" i="2"/>
  <c r="L39" i="2"/>
  <c r="K39" i="2"/>
  <c r="J39" i="2"/>
  <c r="I39" i="2"/>
  <c r="H39" i="2"/>
  <c r="G39" i="2"/>
  <c r="F39" i="2"/>
  <c r="E39" i="2"/>
  <c r="N38" i="2"/>
  <c r="M38" i="2"/>
  <c r="L38" i="2"/>
  <c r="K38" i="2"/>
  <c r="J38" i="2"/>
  <c r="I38" i="2"/>
  <c r="H38" i="2"/>
  <c r="G38" i="2"/>
  <c r="F38" i="2"/>
  <c r="E38" i="2"/>
  <c r="N37" i="2"/>
  <c r="M37" i="2"/>
  <c r="L37" i="2"/>
  <c r="K37" i="2"/>
  <c r="J37" i="2"/>
  <c r="I37" i="2"/>
  <c r="H37" i="2"/>
  <c r="G37" i="2"/>
  <c r="F37" i="2"/>
  <c r="E37" i="2"/>
  <c r="N36" i="2"/>
  <c r="M36" i="2"/>
  <c r="L36" i="2"/>
  <c r="K36" i="2"/>
  <c r="J36" i="2"/>
  <c r="I36" i="2"/>
  <c r="H36" i="2"/>
  <c r="G36" i="2"/>
  <c r="F36" i="2"/>
  <c r="E36" i="2"/>
  <c r="N35" i="2"/>
  <c r="M35" i="2"/>
  <c r="L35" i="2"/>
  <c r="K35" i="2"/>
  <c r="J35" i="2"/>
  <c r="I35" i="2"/>
  <c r="H35" i="2"/>
  <c r="G35" i="2"/>
  <c r="F35" i="2"/>
  <c r="E35" i="2"/>
  <c r="N34" i="2"/>
  <c r="M34" i="2"/>
  <c r="L34" i="2"/>
  <c r="K34" i="2"/>
  <c r="J34" i="2"/>
  <c r="I34" i="2"/>
  <c r="H34" i="2"/>
  <c r="G34" i="2"/>
  <c r="F34" i="2"/>
  <c r="E34" i="2"/>
  <c r="N33" i="2"/>
  <c r="M33" i="2"/>
  <c r="L33" i="2"/>
  <c r="K33" i="2"/>
  <c r="J33" i="2"/>
  <c r="I33" i="2"/>
  <c r="H33" i="2"/>
  <c r="G33" i="2"/>
  <c r="F33" i="2"/>
  <c r="E33" i="2"/>
  <c r="N32" i="2"/>
  <c r="M32" i="2"/>
  <c r="L32" i="2"/>
  <c r="K32" i="2"/>
  <c r="J32" i="2"/>
  <c r="I32" i="2"/>
  <c r="H32" i="2"/>
  <c r="G32" i="2"/>
  <c r="F32" i="2"/>
  <c r="E32" i="2"/>
  <c r="N31" i="2"/>
  <c r="M31" i="2"/>
  <c r="L31" i="2"/>
  <c r="K31" i="2"/>
  <c r="J31" i="2"/>
  <c r="I31" i="2"/>
  <c r="H31" i="2"/>
  <c r="G31" i="2"/>
  <c r="F31" i="2"/>
  <c r="E31" i="2"/>
  <c r="N30" i="2"/>
  <c r="M30" i="2"/>
  <c r="L30" i="2"/>
  <c r="K30" i="2"/>
  <c r="J30" i="2"/>
  <c r="I30" i="2"/>
  <c r="H30" i="2"/>
  <c r="G30" i="2"/>
  <c r="F30" i="2"/>
  <c r="E30" i="2"/>
  <c r="N29" i="2"/>
  <c r="M29" i="2"/>
  <c r="L29" i="2"/>
  <c r="K29" i="2"/>
  <c r="J29" i="2"/>
  <c r="I29" i="2"/>
  <c r="H29" i="2"/>
  <c r="G29" i="2"/>
  <c r="F29" i="2"/>
  <c r="E29" i="2"/>
  <c r="N28" i="2"/>
  <c r="M28" i="2"/>
  <c r="L28" i="2"/>
  <c r="K28" i="2"/>
  <c r="J28" i="2"/>
  <c r="I28" i="2"/>
  <c r="H28" i="2"/>
  <c r="G28" i="2"/>
  <c r="F28" i="2"/>
  <c r="E28" i="2"/>
  <c r="D39" i="2"/>
  <c r="D38" i="2"/>
  <c r="D37" i="2"/>
  <c r="D36" i="2"/>
  <c r="D35" i="2"/>
  <c r="D34" i="2"/>
  <c r="D33" i="2"/>
  <c r="D32" i="2"/>
  <c r="D31" i="2"/>
  <c r="D30" i="2"/>
  <c r="D29" i="2"/>
  <c r="D28" i="2"/>
  <c r="C135" i="1"/>
  <c r="C133" i="1"/>
  <c r="C129" i="1"/>
  <c r="C128" i="1"/>
  <c r="C112" i="1"/>
  <c r="C110" i="1"/>
  <c r="C107" i="1"/>
  <c r="C105" i="1"/>
  <c r="G81" i="1"/>
  <c r="F31" i="1"/>
  <c r="G8" i="1"/>
  <c r="G10" i="1"/>
  <c r="P18" i="3"/>
  <c r="P27" i="3"/>
  <c r="P26" i="3"/>
  <c r="C41" i="1"/>
  <c r="P23" i="3"/>
  <c r="C87" i="1"/>
  <c r="C91" i="1"/>
  <c r="P24" i="3"/>
</calcChain>
</file>

<file path=xl/comments1.xml><?xml version="1.0" encoding="utf-8"?>
<comments xmlns="http://schemas.openxmlformats.org/spreadsheetml/2006/main">
  <authors>
    <author>Walter Chiu</author>
  </authors>
  <commentList>
    <comment ref="C38" authorId="0" shapeId="0">
      <text>
        <r>
          <rPr>
            <b/>
            <sz val="9"/>
            <color indexed="81"/>
            <rFont val="Tahoma"/>
            <family val="2"/>
          </rPr>
          <t>Based on selected m and calculated max. gain, choose Q value with the help of the curve below.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This is traditional Q, not the equivalent Q used in AN-6104.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 xml:space="preserve">The suggested minimum frequency from the plot or simulation result may be used as input.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This voltage is affected by actual minimum frequency setting in step 11. Check this number again after step 11.</t>
        </r>
      </text>
    </comment>
    <comment ref="C111" authorId="0" shapeId="0">
      <text>
        <r>
          <rPr>
            <b/>
            <sz val="9"/>
            <color indexed="81"/>
            <rFont val="Tahoma"/>
            <family val="2"/>
          </rPr>
          <t>Leave some margin, so it generally results in a lower frequency than the number above.</t>
        </r>
      </text>
    </comment>
    <comment ref="C124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Maximum frequency in below-resonant design.
</t>
        </r>
      </text>
    </comment>
    <comment ref="C125" authorId="0" shapeId="0">
      <text>
        <r>
          <rPr>
            <sz val="10"/>
            <color indexed="81"/>
            <rFont val="Calibri"/>
            <family val="2"/>
            <scheme val="minor"/>
          </rPr>
          <t>In below-resonant design, this value happens only during transient in skip mode operation. No possible steady-state operation at this frequency. 
In above-resonant design, this value could happen at the boundary of entering PWM mode (light-load). Note that the dead time of PROUTs doubles in PWM mode, so dead time is not a problem in PWM mode.</t>
        </r>
      </text>
    </comment>
  </commentList>
</comments>
</file>

<file path=xl/sharedStrings.xml><?xml version="1.0" encoding="utf-8"?>
<sst xmlns="http://schemas.openxmlformats.org/spreadsheetml/2006/main" count="327" uniqueCount="236">
  <si>
    <t>Blue cells</t>
  </si>
  <si>
    <t>are the input parameters</t>
  </si>
  <si>
    <t>m</t>
  </si>
  <si>
    <t>Red cells</t>
  </si>
  <si>
    <t>are the output parameters</t>
  </si>
  <si>
    <t>u</t>
  </si>
  <si>
    <t>n</t>
  </si>
  <si>
    <t>1. Define the system specifications</t>
  </si>
  <si>
    <t>Maximum input voltage</t>
  </si>
  <si>
    <t>V</t>
  </si>
  <si>
    <t>Output voltage</t>
  </si>
  <si>
    <t>Output power</t>
  </si>
  <si>
    <t>W</t>
  </si>
  <si>
    <t>Output current</t>
  </si>
  <si>
    <t>A</t>
  </si>
  <si>
    <t>Input Power</t>
  </si>
  <si>
    <t>Estimated efficiency</t>
  </si>
  <si>
    <t>%</t>
  </si>
  <si>
    <t>Holdup time requirement</t>
  </si>
  <si>
    <t>ms</t>
  </si>
  <si>
    <t>Input Bulk capacitor</t>
  </si>
  <si>
    <t>uF</t>
  </si>
  <si>
    <t>2. Determine the maximum and minimum gain of the resonant network</t>
  </si>
  <si>
    <t>Ratio between Lp and Lr (m)</t>
  </si>
  <si>
    <t>:: Lp = primary side inductance with secondary open</t>
  </si>
  <si>
    <t>:: Lr = primary side inductance with secondary short</t>
  </si>
  <si>
    <t>Integrated Tx (YES=1, No=0) ?</t>
  </si>
  <si>
    <t>Gain at the resonant freq</t>
  </si>
  <si>
    <t xml:space="preserve">The min gain should be same as or a little bit </t>
  </si>
  <si>
    <t>higher than the gain at the resonant frequency (fo)</t>
  </si>
  <si>
    <t>3. Determine the transformer turns ratio</t>
  </si>
  <si>
    <t>Rectifier diode forward voltage drop</t>
  </si>
  <si>
    <t>turns ratio (n=Np/Ns)</t>
  </si>
  <si>
    <t>4. Calculate the equivalent load resistance</t>
  </si>
  <si>
    <t>Rac</t>
  </si>
  <si>
    <t>Ω</t>
  </si>
  <si>
    <t>5. Design the resonant network</t>
  </si>
  <si>
    <t>Designed resonant network</t>
  </si>
  <si>
    <t>Actual resonant network Design</t>
  </si>
  <si>
    <t>Resonant frequency (fo)</t>
  </si>
  <si>
    <t>kHz</t>
  </si>
  <si>
    <t>Cr</t>
  </si>
  <si>
    <t>nF</t>
  </si>
  <si>
    <t>Q factor from the design graph</t>
  </si>
  <si>
    <t>Lr</t>
  </si>
  <si>
    <t>uH</t>
  </si>
  <si>
    <t>Designed Cr</t>
  </si>
  <si>
    <t>Lp</t>
  </si>
  <si>
    <t>Designed Lr</t>
  </si>
  <si>
    <t>Q factor</t>
  </si>
  <si>
    <t>Designed Lp</t>
  </si>
  <si>
    <t>resonant freq (fo)</t>
  </si>
  <si>
    <t>Mv</t>
  </si>
  <si>
    <t>Ratio between Lp and Lr</t>
  </si>
  <si>
    <t>6. Design the transformer</t>
  </si>
  <si>
    <t>Cross sectional area of the core (Ae)</t>
  </si>
  <si>
    <r>
      <t>mm</t>
    </r>
    <r>
      <rPr>
        <vertAlign val="superscript"/>
        <sz val="10"/>
        <color indexed="12"/>
        <rFont val="Arial"/>
        <family val="2"/>
      </rPr>
      <t>2</t>
    </r>
  </si>
  <si>
    <t>Minimum primary side turns</t>
  </si>
  <si>
    <t>turns</t>
  </si>
  <si>
    <t>T</t>
  </si>
  <si>
    <t>Primary side turns (Np)</t>
  </si>
  <si>
    <t>RMS current in primary winding</t>
  </si>
  <si>
    <t>Arms</t>
  </si>
  <si>
    <t>Secondy side turns (Ns)</t>
  </si>
  <si>
    <t>RMS current in seconadry winding</t>
  </si>
  <si>
    <t>7. Select the resonant capacitor (Cr)</t>
  </si>
  <si>
    <t>Secondary side OCP level</t>
  </si>
  <si>
    <t>RMS current through Cr</t>
  </si>
  <si>
    <t>Switching frequency at Vin.max</t>
  </si>
  <si>
    <t>Max voltage of Cr (Vin.max, Io)</t>
  </si>
  <si>
    <t>switching frequency at Vin.min</t>
  </si>
  <si>
    <t>Max voltage of Cr (Vin.max, Io.ocp)</t>
  </si>
  <si>
    <t>Max voltage of Cr (Vin.min, Io.ocp)</t>
  </si>
  <si>
    <t>8. Rectifier network design</t>
  </si>
  <si>
    <t>This design is for center tap transformer rectifier stage</t>
  </si>
  <si>
    <t>Diode voltage stress</t>
  </si>
  <si>
    <t>RMS current through each diode</t>
  </si>
  <si>
    <t>Output Capacitor</t>
  </si>
  <si>
    <t>RMS current through Co</t>
  </si>
  <si>
    <t>ESR of the output capacitor (Co)</t>
  </si>
  <si>
    <t>mΩ</t>
  </si>
  <si>
    <t>Output Voltage Ripple</t>
  </si>
  <si>
    <t>mV</t>
  </si>
  <si>
    <t>9. Current Sensing Circuit Configuration</t>
  </si>
  <si>
    <t>Primary side peak current</t>
  </si>
  <si>
    <t>OCP Primary side current</t>
  </si>
  <si>
    <t>OLP output current</t>
  </si>
  <si>
    <t>Turns ratio of current transformer (N2/N1)</t>
  </si>
  <si>
    <t>Recommended minimum Rcs1+Rcs2</t>
  </si>
  <si>
    <t>Rcs1+Rcs2 selection</t>
  </si>
  <si>
    <t>Rcs1</t>
  </si>
  <si>
    <t>Rcs2</t>
  </si>
  <si>
    <t>VCM (should be larger than 2V)</t>
  </si>
  <si>
    <t>ICS capacitor (C_ICS)</t>
  </si>
  <si>
    <t>Slope compensation Resistor</t>
  </si>
  <si>
    <t>kΩ</t>
  </si>
  <si>
    <t>VICS attenuation factor for VICS=1.2V</t>
  </si>
  <si>
    <t>VICS attenuation factor for VICS=1.45V</t>
  </si>
  <si>
    <t>Aditional slope on VICS at nominal VIN</t>
  </si>
  <si>
    <t>ICS resistor (R_ICS)</t>
  </si>
  <si>
    <t>VICS at VIN_MIN and full load</t>
  </si>
  <si>
    <t>10. Soft-Start Setting</t>
  </si>
  <si>
    <t>Minimum output voltage rising time</t>
  </si>
  <si>
    <t>Soft-start time</t>
  </si>
  <si>
    <t>Soft-start capacitor</t>
  </si>
  <si>
    <t>11. Minimum frequency setting</t>
  </si>
  <si>
    <t>Switching frequency at Vin.min</t>
  </si>
  <si>
    <t>Minimum frequency setting</t>
  </si>
  <si>
    <r>
      <t>Min frequency setting resistor (R</t>
    </r>
    <r>
      <rPr>
        <b/>
        <vertAlign val="subscript"/>
        <sz val="10"/>
        <color indexed="60"/>
        <rFont val="Arial"/>
        <family val="2"/>
      </rPr>
      <t>FMIN</t>
    </r>
    <r>
      <rPr>
        <b/>
        <sz val="10"/>
        <color indexed="60"/>
        <rFont val="Arial"/>
        <family val="2"/>
      </rPr>
      <t>)</t>
    </r>
  </si>
  <si>
    <t>12. PWM mode setting</t>
  </si>
  <si>
    <t>Vcomp.pwm</t>
  </si>
  <si>
    <t>13. Deadtime Setting</t>
  </si>
  <si>
    <t>Effective Coss of primary side MOSFET</t>
  </si>
  <si>
    <t>pF</t>
  </si>
  <si>
    <t>ns</t>
  </si>
  <si>
    <t>CDT</t>
  </si>
  <si>
    <t>RDT</t>
  </si>
  <si>
    <t>Primary side MOSFET dead time</t>
  </si>
  <si>
    <t>Secondary side SR dead time</t>
  </si>
  <si>
    <t>14. SR drain voltage sensing</t>
  </si>
  <si>
    <t>RDS1</t>
  </si>
  <si>
    <t>Minimum RDS2</t>
  </si>
  <si>
    <t>RDS2 selection</t>
  </si>
  <si>
    <t>Maximum filter capacitor on DS1SR</t>
  </si>
  <si>
    <t>Q</t>
    <phoneticPr fontId="0" type="noConversion"/>
  </si>
  <si>
    <t>m=2.5</t>
    <phoneticPr fontId="0" type="noConversion"/>
  </si>
  <si>
    <t>m=3</t>
    <phoneticPr fontId="0" type="noConversion"/>
  </si>
  <si>
    <t>m=3.5</t>
    <phoneticPr fontId="0" type="noConversion"/>
  </si>
  <si>
    <t>m=4</t>
    <phoneticPr fontId="0" type="noConversion"/>
  </si>
  <si>
    <t>m=4.5</t>
    <phoneticPr fontId="0" type="noConversion"/>
  </si>
  <si>
    <t>m=5</t>
    <phoneticPr fontId="0" type="noConversion"/>
  </si>
  <si>
    <t>m=6</t>
    <phoneticPr fontId="0" type="noConversion"/>
  </si>
  <si>
    <t>m=7</t>
    <phoneticPr fontId="0" type="noConversion"/>
  </si>
  <si>
    <t>m=8</t>
    <phoneticPr fontId="0" type="noConversion"/>
  </si>
  <si>
    <t>m=9</t>
  </si>
  <si>
    <t>m=10</t>
  </si>
  <si>
    <t>m=12</t>
  </si>
  <si>
    <t>Q</t>
    <phoneticPr fontId="0" type="noConversion"/>
  </si>
  <si>
    <t>m=2.5</t>
    <phoneticPr fontId="0" type="noConversion"/>
  </si>
  <si>
    <t>m=3</t>
    <phoneticPr fontId="0" type="noConversion"/>
  </si>
  <si>
    <t>m=3.5</t>
    <phoneticPr fontId="0" type="noConversion"/>
  </si>
  <si>
    <t>m=4</t>
    <phoneticPr fontId="0" type="noConversion"/>
  </si>
  <si>
    <t>m=6</t>
    <phoneticPr fontId="0" type="noConversion"/>
  </si>
  <si>
    <t>m=7</t>
    <phoneticPr fontId="0" type="noConversion"/>
  </si>
  <si>
    <t>fs</t>
    <phoneticPr fontId="0" type="noConversion"/>
  </si>
  <si>
    <t>ws</t>
    <phoneticPr fontId="0" type="noConversion"/>
  </si>
  <si>
    <t>wo=</t>
    <phoneticPr fontId="0" type="noConversion"/>
  </si>
  <si>
    <t>wp=</t>
    <phoneticPr fontId="0" type="noConversion"/>
  </si>
  <si>
    <t>fo=</t>
    <phoneticPr fontId="0" type="noConversion"/>
  </si>
  <si>
    <t>fp=</t>
    <phoneticPr fontId="0" type="noConversion"/>
  </si>
  <si>
    <t>Outputs</t>
    <phoneticPr fontId="0" type="noConversion"/>
  </si>
  <si>
    <t>Lm=</t>
    <phoneticPr fontId="0" type="noConversion"/>
  </si>
  <si>
    <t>Llk=</t>
    <phoneticPr fontId="0" type="noConversion"/>
  </si>
  <si>
    <t>n=</t>
    <phoneticPr fontId="0" type="noConversion"/>
  </si>
  <si>
    <t>Rac=</t>
    <phoneticPr fontId="0" type="noConversion"/>
  </si>
  <si>
    <t>Q=</t>
    <phoneticPr fontId="0" type="noConversion"/>
  </si>
  <si>
    <t>Qp</t>
    <phoneticPr fontId="0" type="noConversion"/>
  </si>
  <si>
    <t>m</t>
    <phoneticPr fontId="0" type="noConversion"/>
  </si>
  <si>
    <t>rad/s</t>
  </si>
  <si>
    <t>100% load</t>
  </si>
  <si>
    <t>80% load</t>
  </si>
  <si>
    <t>60% load</t>
  </si>
  <si>
    <t>40% load</t>
  </si>
  <si>
    <t>20% load</t>
  </si>
  <si>
    <t>m=14</t>
  </si>
  <si>
    <t>m=16</t>
  </si>
  <si>
    <t>Input voltage during holdup time</t>
  </si>
  <si>
    <t>Minimum input voltage for Design</t>
  </si>
  <si>
    <t>Maximum flux density Bmax</t>
    <phoneticPr fontId="22" type="noConversion"/>
  </si>
  <si>
    <t>Integrated Tx</t>
  </si>
  <si>
    <t>Separated Lr and Tx</t>
  </si>
  <si>
    <t>Required Peak Gain</t>
  </si>
  <si>
    <t>Min. gain for max input voltage</t>
  </si>
  <si>
    <t>Max. gain for min input voltage</t>
  </si>
  <si>
    <t>Q.e=</t>
  </si>
  <si>
    <t>Rac.e=</t>
  </si>
  <si>
    <t>Note that this table is made with Q and Rac, not Q.e and Rac.e. That's why we keep use Rac in the design sheet.</t>
  </si>
  <si>
    <t>V.ICS.IDEAL.PK</t>
  </si>
  <si>
    <t>K.ATTN</t>
  </si>
  <si>
    <t>K.ATTN.calculate</t>
  </si>
  <si>
    <t>coeffication</t>
  </si>
  <si>
    <t>RICS.Above.resonant</t>
  </si>
  <si>
    <t>RICS.Below.resonant</t>
  </si>
  <si>
    <t>Min.gain (norminal)</t>
  </si>
  <si>
    <t>Max.gain(holdup)</t>
  </si>
  <si>
    <t>Approximation of ICS attenuation</t>
  </si>
  <si>
    <t>MAX gain at 100% load</t>
  </si>
  <si>
    <t>freqeuncy of the MAX gain</t>
  </si>
  <si>
    <t>Relative row number of the MAX gain</t>
  </si>
  <si>
    <t>Suggested min. freq. from plot</t>
  </si>
  <si>
    <t>Minimum switching frequency by step 11.</t>
  </si>
  <si>
    <t>Freq.max.gain</t>
  </si>
  <si>
    <t>gain</t>
  </si>
  <si>
    <r>
      <t>Required R</t>
    </r>
    <r>
      <rPr>
        <b/>
        <vertAlign val="subscript"/>
        <sz val="10"/>
        <color rgb="FFC00000"/>
        <rFont val="Arial"/>
        <family val="2"/>
      </rPr>
      <t>PWM</t>
    </r>
    <r>
      <rPr>
        <b/>
        <sz val="10"/>
        <color rgb="FFC00000"/>
        <rFont val="Arial"/>
        <family val="2"/>
      </rPr>
      <t xml:space="preserve"> for FAN7688</t>
    </r>
  </si>
  <si>
    <t>Peak of magnetizing current @ fo</t>
  </si>
  <si>
    <t>Peak of magnetizing current @ Vcomp.pwm</t>
  </si>
  <si>
    <t>minimum dead time in the primary side @ fo</t>
  </si>
  <si>
    <t>minimum dead time in the primary side @ Vcomp.pwm</t>
  </si>
  <si>
    <t>Estimated frequency at PWM mode</t>
  </si>
  <si>
    <t>RICS.alternative (walter's recipe)</t>
  </si>
  <si>
    <t>MV=</t>
  </si>
  <si>
    <t>Rac.e</t>
  </si>
  <si>
    <r>
      <t>Required R</t>
    </r>
    <r>
      <rPr>
        <b/>
        <vertAlign val="subscript"/>
        <sz val="10"/>
        <color rgb="FFC00000"/>
        <rFont val="Arial"/>
        <family val="2"/>
      </rPr>
      <t>PWM</t>
    </r>
    <r>
      <rPr>
        <b/>
        <sz val="10"/>
        <color rgb="FFC00000"/>
        <rFont val="Arial"/>
        <family val="2"/>
      </rPr>
      <t xml:space="preserve"> for NCP4390/NCV4390</t>
    </r>
  </si>
  <si>
    <t>Parameter</t>
  </si>
  <si>
    <t>Value</t>
  </si>
  <si>
    <t>Lambda</t>
  </si>
  <si>
    <r>
      <t>k</t>
    </r>
    <r>
      <rPr>
        <vertAlign val="subscript"/>
        <sz val="11"/>
        <color theme="1"/>
        <rFont val="Calibri"/>
        <family val="2"/>
        <scheme val="minor"/>
      </rPr>
      <t>ramp</t>
    </r>
  </si>
  <si>
    <r>
      <t>R</t>
    </r>
    <r>
      <rPr>
        <vertAlign val="subscript"/>
        <sz val="11"/>
        <color theme="1"/>
        <rFont val="Calibri"/>
        <family val="2"/>
        <scheme val="minor"/>
      </rPr>
      <t>load</t>
    </r>
  </si>
  <si>
    <t>kcomp</t>
  </si>
  <si>
    <r>
      <t>k</t>
    </r>
    <r>
      <rPr>
        <vertAlign val="subscript"/>
        <sz val="11"/>
        <color theme="1"/>
        <rFont val="Calibri"/>
        <family val="2"/>
        <scheme val="minor"/>
      </rPr>
      <t>fs</t>
    </r>
  </si>
  <si>
    <t>freq (Hz)</t>
  </si>
  <si>
    <t>ω (rad/s)</t>
  </si>
  <si>
    <t>Zo.complex</t>
  </si>
  <si>
    <t>HZOH</t>
  </si>
  <si>
    <t>Gvf.DFC.above</t>
  </si>
  <si>
    <t>Gvf.DFC.below</t>
  </si>
  <si>
    <t>Mode</t>
  </si>
  <si>
    <t>Gdc.above</t>
  </si>
  <si>
    <t>Gdc.above.half</t>
  </si>
  <si>
    <t>Ln</t>
  </si>
  <si>
    <t>fn</t>
  </si>
  <si>
    <t>Xeq</t>
  </si>
  <si>
    <t>Zr</t>
  </si>
  <si>
    <t>fr</t>
  </si>
  <si>
    <t>Qr</t>
  </si>
  <si>
    <t>Qs</t>
  </si>
  <si>
    <t>Le.above</t>
  </si>
  <si>
    <t>Le.below</t>
  </si>
  <si>
    <t>Qp</t>
  </si>
  <si>
    <t>wp</t>
  </si>
  <si>
    <t>Gdc.below.half</t>
  </si>
  <si>
    <t>LLC inverter stage (Half Bridge = 0, Full Bridge = 1)</t>
  </si>
  <si>
    <t>Based on AND90061</t>
  </si>
  <si>
    <t>LLC rectifier stage (Center Tap = 0, Full Bridge =1)</t>
  </si>
  <si>
    <t>V1.6</t>
  </si>
  <si>
    <t>LLC resonant converter design tools for NCP4390/NCV4390/FAN7688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</si>
</sst>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-;\-* #,##0_-;_-* &quot;-&quot;_-;_-@_-"/>
    <numFmt numFmtId="165" formatCode="0.0E+00"/>
    <numFmt numFmtId="166" formatCode="0.0_ "/>
    <numFmt numFmtId="167" formatCode="0.00_ "/>
    <numFmt numFmtId="168" formatCode="0_ "/>
    <numFmt numFmtId="169" formatCode="0.0"/>
    <numFmt numFmtId="170" formatCode="0.0000000"/>
    <numFmt numFmtId="171" formatCode="#,##0.0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6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indexed="60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b/>
      <sz val="11"/>
      <name val="Calibri"/>
      <family val="2"/>
      <scheme val="minor"/>
    </font>
    <font>
      <b/>
      <vertAlign val="subscript"/>
      <sz val="10"/>
      <color rgb="FFC00000"/>
      <name val="Arial"/>
      <family val="2"/>
    </font>
    <font>
      <sz val="10"/>
      <color indexed="81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rgb="FF993300"/>
      <name val="Arial"/>
      <family val="2"/>
    </font>
    <font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7A7E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7FEEF1"/>
        <bgColor indexed="64"/>
      </patternFill>
    </fill>
    <fill>
      <patternFill patternType="solid">
        <fgColor rgb="FFEE96D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0" fontId="1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165" fontId="5" fillId="0" borderId="0" xfId="0" applyNumberFormat="1" applyFont="1" applyProtection="1">
      <protection hidden="1"/>
    </xf>
    <xf numFmtId="0" fontId="7" fillId="3" borderId="0" xfId="0" applyFont="1" applyFill="1" applyProtection="1">
      <protection hidden="1"/>
    </xf>
    <xf numFmtId="0" fontId="6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4" borderId="0" xfId="0" applyFont="1" applyFill="1" applyAlignment="1" applyProtection="1">
      <protection hidden="1"/>
    </xf>
    <xf numFmtId="0" fontId="1" fillId="4" borderId="0" xfId="0" applyFont="1" applyFill="1" applyAlignment="1" applyProtection="1">
      <protection hidden="1"/>
    </xf>
    <xf numFmtId="0" fontId="8" fillId="0" borderId="0" xfId="0" applyFont="1" applyProtection="1">
      <protection hidden="1"/>
    </xf>
    <xf numFmtId="0" fontId="1" fillId="2" borderId="0" xfId="0" applyFont="1" applyFill="1" applyProtection="1">
      <protection locked="0"/>
    </xf>
    <xf numFmtId="0" fontId="9" fillId="0" borderId="0" xfId="0" applyFont="1" applyProtection="1">
      <protection hidden="1"/>
    </xf>
    <xf numFmtId="0" fontId="3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166" fontId="3" fillId="3" borderId="0" xfId="0" applyNumberFormat="1" applyFont="1" applyFill="1" applyProtection="1">
      <protection hidden="1"/>
    </xf>
    <xf numFmtId="0" fontId="10" fillId="5" borderId="1" xfId="0" applyFont="1" applyFill="1" applyBorder="1" applyProtection="1">
      <protection hidden="1"/>
    </xf>
    <xf numFmtId="0" fontId="11" fillId="5" borderId="2" xfId="0" applyFont="1" applyFill="1" applyBorder="1" applyProtection="1">
      <protection hidden="1"/>
    </xf>
    <xf numFmtId="0" fontId="11" fillId="5" borderId="3" xfId="0" applyFont="1" applyFill="1" applyBorder="1" applyProtection="1">
      <protection hidden="1"/>
    </xf>
    <xf numFmtId="0" fontId="10" fillId="5" borderId="4" xfId="0" applyFont="1" applyFill="1" applyBorder="1" applyProtection="1">
      <protection hidden="1"/>
    </xf>
    <xf numFmtId="0" fontId="11" fillId="5" borderId="5" xfId="0" applyFont="1" applyFill="1" applyBorder="1" applyProtection="1">
      <protection hidden="1"/>
    </xf>
    <xf numFmtId="0" fontId="11" fillId="5" borderId="6" xfId="0" applyFont="1" applyFill="1" applyBorder="1" applyProtection="1">
      <protection hidden="1"/>
    </xf>
    <xf numFmtId="167" fontId="3" fillId="3" borderId="0" xfId="0" applyNumberFormat="1" applyFont="1" applyFill="1" applyProtection="1">
      <protection hidden="1"/>
    </xf>
    <xf numFmtId="167" fontId="8" fillId="2" borderId="0" xfId="0" applyNumberFormat="1" applyFont="1" applyFill="1" applyProtection="1">
      <protection locked="0"/>
    </xf>
    <xf numFmtId="0" fontId="12" fillId="0" borderId="0" xfId="0" applyFont="1" applyProtection="1">
      <protection hidden="1"/>
    </xf>
    <xf numFmtId="168" fontId="3" fillId="3" borderId="0" xfId="0" applyNumberFormat="1" applyFont="1" applyFill="1" applyProtection="1">
      <protection hidden="1"/>
    </xf>
    <xf numFmtId="0" fontId="1" fillId="0" borderId="1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9" fillId="0" borderId="7" xfId="0" applyFont="1" applyBorder="1" applyProtection="1">
      <protection hidden="1"/>
    </xf>
    <xf numFmtId="166" fontId="3" fillId="3" borderId="0" xfId="0" applyNumberFormat="1" applyFont="1" applyFill="1" applyBorder="1" applyProtection="1">
      <protection hidden="1"/>
    </xf>
    <xf numFmtId="0" fontId="3" fillId="0" borderId="8" xfId="0" applyFont="1" applyBorder="1" applyProtection="1">
      <protection hidden="1"/>
    </xf>
    <xf numFmtId="168" fontId="3" fillId="3" borderId="0" xfId="0" applyNumberFormat="1" applyFont="1" applyFill="1" applyBorder="1" applyProtection="1">
      <protection hidden="1"/>
    </xf>
    <xf numFmtId="167" fontId="3" fillId="3" borderId="0" xfId="0" applyNumberFormat="1" applyFont="1" applyFill="1" applyBorder="1" applyProtection="1">
      <protection hidden="1"/>
    </xf>
    <xf numFmtId="0" fontId="9" fillId="0" borderId="4" xfId="0" applyFont="1" applyBorder="1" applyProtection="1">
      <protection hidden="1"/>
    </xf>
    <xf numFmtId="168" fontId="3" fillId="3" borderId="5" xfId="0" applyNumberFormat="1" applyFont="1" applyFill="1" applyBorder="1" applyProtection="1">
      <protection hidden="1"/>
    </xf>
    <xf numFmtId="0" fontId="3" fillId="0" borderId="6" xfId="0" applyFont="1" applyBorder="1" applyProtection="1">
      <protection hidden="1"/>
    </xf>
    <xf numFmtId="0" fontId="15" fillId="0" borderId="0" xfId="0" applyFont="1" applyProtection="1">
      <protection hidden="1"/>
    </xf>
    <xf numFmtId="2" fontId="3" fillId="3" borderId="0" xfId="0" applyNumberFormat="1" applyFont="1" applyFill="1" applyProtection="1">
      <protection hidden="1"/>
    </xf>
    <xf numFmtId="0" fontId="16" fillId="0" borderId="0" xfId="0" applyFont="1" applyProtection="1">
      <protection hidden="1"/>
    </xf>
    <xf numFmtId="2" fontId="1" fillId="6" borderId="0" xfId="0" applyNumberFormat="1" applyFont="1" applyFill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8" fillId="7" borderId="0" xfId="0" applyFont="1" applyFill="1" applyProtection="1">
      <protection hidden="1"/>
    </xf>
    <xf numFmtId="1" fontId="3" fillId="3" borderId="0" xfId="0" applyNumberFormat="1" applyFont="1" applyFill="1" applyProtection="1">
      <protection hidden="1"/>
    </xf>
    <xf numFmtId="4" fontId="3" fillId="3" borderId="0" xfId="0" applyNumberFormat="1" applyFont="1" applyFill="1" applyProtection="1">
      <protection hidden="1"/>
    </xf>
    <xf numFmtId="0" fontId="1" fillId="0" borderId="0" xfId="0" applyFont="1" applyFill="1" applyProtection="1">
      <protection hidden="1"/>
    </xf>
    <xf numFmtId="1" fontId="1" fillId="6" borderId="0" xfId="0" applyNumberFormat="1" applyFont="1" applyFill="1" applyProtection="1">
      <protection hidden="1"/>
    </xf>
    <xf numFmtId="169" fontId="1" fillId="6" borderId="0" xfId="0" applyNumberFormat="1" applyFont="1" applyFill="1" applyProtection="1">
      <protection hidden="1"/>
    </xf>
    <xf numFmtId="167" fontId="1" fillId="0" borderId="0" xfId="0" applyNumberFormat="1" applyFont="1" applyProtection="1">
      <protection hidden="1"/>
    </xf>
    <xf numFmtId="11" fontId="1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1" fillId="9" borderId="0" xfId="0" applyFont="1" applyFill="1" applyProtection="1">
      <protection hidden="1"/>
    </xf>
    <xf numFmtId="0" fontId="0" fillId="10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0" fontId="0" fillId="13" borderId="0" xfId="0" applyFill="1"/>
    <xf numFmtId="167" fontId="0" fillId="0" borderId="0" xfId="0" applyNumberFormat="1"/>
    <xf numFmtId="2" fontId="0" fillId="14" borderId="0" xfId="0" applyNumberFormat="1" applyFill="1"/>
    <xf numFmtId="4" fontId="0" fillId="0" borderId="0" xfId="0" applyNumberFormat="1"/>
    <xf numFmtId="11" fontId="0" fillId="0" borderId="0" xfId="0" applyNumberFormat="1"/>
    <xf numFmtId="2" fontId="0" fillId="0" borderId="0" xfId="0" applyNumberFormat="1"/>
    <xf numFmtId="169" fontId="20" fillId="17" borderId="0" xfId="0" applyNumberFormat="1" applyFont="1" applyFill="1" applyProtection="1">
      <protection hidden="1"/>
    </xf>
    <xf numFmtId="0" fontId="21" fillId="0" borderId="0" xfId="0" applyFont="1" applyProtection="1">
      <protection hidden="1"/>
    </xf>
    <xf numFmtId="0" fontId="21" fillId="2" borderId="0" xfId="0" applyFont="1" applyFill="1" applyProtection="1">
      <protection locked="0"/>
    </xf>
    <xf numFmtId="170" fontId="1" fillId="0" borderId="0" xfId="0" applyNumberFormat="1" applyFont="1" applyProtection="1">
      <protection hidden="1"/>
    </xf>
    <xf numFmtId="166" fontId="3" fillId="16" borderId="0" xfId="0" applyNumberFormat="1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23" fillId="0" borderId="0" xfId="0" applyFont="1"/>
    <xf numFmtId="0" fontId="1" fillId="17" borderId="0" xfId="0" applyFont="1" applyFill="1" applyProtection="1">
      <protection hidden="1"/>
    </xf>
    <xf numFmtId="0" fontId="0" fillId="0" borderId="0" xfId="0" applyAlignment="1">
      <alignment horizontal="right"/>
    </xf>
    <xf numFmtId="0" fontId="0" fillId="0" borderId="0" xfId="0" quotePrefix="1"/>
    <xf numFmtId="0" fontId="25" fillId="11" borderId="9" xfId="0" applyFont="1" applyFill="1" applyBorder="1" applyAlignment="1">
      <alignment horizontal="right"/>
    </xf>
    <xf numFmtId="3" fontId="25" fillId="11" borderId="10" xfId="0" applyNumberFormat="1" applyFont="1" applyFill="1" applyBorder="1"/>
    <xf numFmtId="4" fontId="25" fillId="11" borderId="10" xfId="0" applyNumberFormat="1" applyFont="1" applyFill="1" applyBorder="1"/>
    <xf numFmtId="0" fontId="26" fillId="11" borderId="9" xfId="0" applyFont="1" applyFill="1" applyBorder="1" applyAlignment="1">
      <alignment horizontal="right"/>
    </xf>
    <xf numFmtId="11" fontId="26" fillId="11" borderId="10" xfId="0" applyNumberFormat="1" applyFont="1" applyFill="1" applyBorder="1"/>
    <xf numFmtId="166" fontId="26" fillId="11" borderId="10" xfId="0" applyNumberFormat="1" applyFont="1" applyFill="1" applyBorder="1"/>
    <xf numFmtId="0" fontId="26" fillId="11" borderId="9" xfId="0" applyFont="1" applyFill="1" applyBorder="1"/>
    <xf numFmtId="0" fontId="26" fillId="11" borderId="10" xfId="0" applyFont="1" applyFill="1" applyBorder="1"/>
    <xf numFmtId="164" fontId="26" fillId="11" borderId="10" xfId="0" applyNumberFormat="1" applyFont="1" applyFill="1" applyBorder="1"/>
    <xf numFmtId="167" fontId="26" fillId="11" borderId="10" xfId="0" applyNumberFormat="1" applyFont="1" applyFill="1" applyBorder="1"/>
    <xf numFmtId="169" fontId="1" fillId="6" borderId="0" xfId="0" applyNumberFormat="1" applyFont="1" applyFill="1" applyAlignment="1" applyProtection="1">
      <alignment horizontal="right"/>
      <protection hidden="1"/>
    </xf>
    <xf numFmtId="0" fontId="29" fillId="0" borderId="0" xfId="0" applyFont="1" applyFill="1" applyProtection="1">
      <protection hidden="1"/>
    </xf>
    <xf numFmtId="171" fontId="3" fillId="3" borderId="0" xfId="0" applyNumberFormat="1" applyFont="1" applyFill="1" applyProtection="1">
      <protection hidden="1"/>
    </xf>
    <xf numFmtId="0" fontId="30" fillId="0" borderId="0" xfId="0" applyFont="1" applyProtection="1">
      <protection hidden="1"/>
    </xf>
    <xf numFmtId="169" fontId="1" fillId="6" borderId="11" xfId="0" applyNumberFormat="1" applyFont="1" applyFill="1" applyBorder="1" applyProtection="1">
      <protection hidden="1"/>
    </xf>
    <xf numFmtId="0" fontId="11" fillId="0" borderId="0" xfId="0" applyFont="1" applyFill="1" applyBorder="1" applyProtection="1">
      <protection hidden="1"/>
    </xf>
    <xf numFmtId="0" fontId="12" fillId="0" borderId="0" xfId="0" applyFont="1" applyBorder="1" applyProtection="1">
      <protection hidden="1"/>
    </xf>
    <xf numFmtId="0" fontId="32" fillId="0" borderId="0" xfId="0" applyFont="1" applyFill="1" applyProtection="1">
      <protection hidden="1"/>
    </xf>
    <xf numFmtId="0" fontId="33" fillId="0" borderId="0" xfId="0" applyFont="1"/>
    <xf numFmtId="0" fontId="0" fillId="18" borderId="0" xfId="0" applyFill="1"/>
    <xf numFmtId="0" fontId="11" fillId="8" borderId="0" xfId="0" applyFont="1" applyFill="1" applyBorder="1" applyProtection="1">
      <protection locked="0"/>
    </xf>
    <xf numFmtId="2" fontId="8" fillId="17" borderId="0" xfId="0" applyNumberFormat="1" applyFont="1" applyFill="1" applyProtection="1">
      <protection hidden="1"/>
    </xf>
    <xf numFmtId="169" fontId="8" fillId="17" borderId="0" xfId="0" applyNumberFormat="1" applyFont="1" applyFill="1" applyProtection="1">
      <protection hidden="1"/>
    </xf>
    <xf numFmtId="0" fontId="13" fillId="0" borderId="12" xfId="0" applyFont="1" applyBorder="1" applyProtection="1">
      <protection hidden="1"/>
    </xf>
    <xf numFmtId="0" fontId="1" fillId="2" borderId="13" xfId="0" applyFont="1" applyFill="1" applyBorder="1" applyProtection="1">
      <protection locked="0"/>
    </xf>
    <xf numFmtId="0" fontId="3" fillId="0" borderId="14" xfId="0" applyFont="1" applyBorder="1" applyProtection="1">
      <protection hidden="1"/>
    </xf>
    <xf numFmtId="0" fontId="1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9" fillId="0" borderId="15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66" fontId="3" fillId="3" borderId="18" xfId="0" applyNumberFormat="1" applyFont="1" applyFill="1" applyBorder="1" applyProtection="1">
      <protection hidden="1"/>
    </xf>
    <xf numFmtId="0" fontId="3" fillId="0" borderId="19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6" fillId="15" borderId="9" xfId="0" applyFont="1" applyFill="1" applyBorder="1" applyAlignment="1">
      <alignment horizontal="center"/>
    </xf>
    <xf numFmtId="0" fontId="0" fillId="15" borderId="1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A7F3C"/>
      <color rgb="FF00FFFF"/>
      <color rgb="FF00CCFF"/>
      <color rgb="FF7FEEF1"/>
      <color rgb="FFEE96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1409569566516"/>
          <c:y val="2.2284628834225419E-2"/>
          <c:w val="0.81798758206071698"/>
          <c:h val="0.88833629667259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PeakGainCurve!$B$26</c:f>
              <c:strCache>
                <c:ptCount val="1"/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PeakGainCurve!$B$27:$B$39</c:f>
              <c:numCache>
                <c:formatCode>General</c:formatCode>
                <c:ptCount val="1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70-45C4-8F15-88AB832AE36C}"/>
            </c:ext>
          </c:extLst>
        </c:ser>
        <c:ser>
          <c:idx val="1"/>
          <c:order val="1"/>
          <c:tx>
            <c:strRef>
              <c:f>PeakGainCurve!$C$26</c:f>
              <c:strCache>
                <c:ptCount val="1"/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PeakGainCurve!$C$27:$C$39</c:f>
              <c:numCache>
                <c:formatCode>General</c:formatCode>
                <c:ptCount val="1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70-45C4-8F15-88AB832AE36C}"/>
            </c:ext>
          </c:extLst>
        </c:ser>
        <c:ser>
          <c:idx val="2"/>
          <c:order val="2"/>
          <c:tx>
            <c:strRef>
              <c:f>PeakGainCurve!$D$26</c:f>
              <c:strCache>
                <c:ptCount val="1"/>
                <c:pt idx="0">
                  <c:v>m=2.5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PeakGainCurve!$D$27:$D$39</c:f>
              <c:numCache>
                <c:formatCode>General</c:formatCode>
                <c:ptCount val="13"/>
                <c:pt idx="1">
                  <c:v>1.373</c:v>
                </c:pt>
                <c:pt idx="2">
                  <c:v>1.391</c:v>
                </c:pt>
                <c:pt idx="3">
                  <c:v>1.4159999999999999</c:v>
                </c:pt>
                <c:pt idx="4">
                  <c:v>1.45</c:v>
                </c:pt>
                <c:pt idx="5">
                  <c:v>1.502</c:v>
                </c:pt>
                <c:pt idx="6">
                  <c:v>1.5820000000000001</c:v>
                </c:pt>
                <c:pt idx="7">
                  <c:v>1.7070000000000001</c:v>
                </c:pt>
                <c:pt idx="8">
                  <c:v>1.9119999999999999</c:v>
                </c:pt>
                <c:pt idx="9">
                  <c:v>2.2559999999999998</c:v>
                </c:pt>
                <c:pt idx="10">
                  <c:v>2.8759999999999999</c:v>
                </c:pt>
                <c:pt idx="11">
                  <c:v>4.1829999999999998</c:v>
                </c:pt>
                <c:pt idx="12">
                  <c:v>8.2149999999999999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70-45C4-8F15-88AB832AE36C}"/>
            </c:ext>
          </c:extLst>
        </c:ser>
        <c:ser>
          <c:idx val="3"/>
          <c:order val="3"/>
          <c:tx>
            <c:strRef>
              <c:f>PeakGainCurve!$E$26</c:f>
              <c:strCache>
                <c:ptCount val="1"/>
                <c:pt idx="0">
                  <c:v>m=3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PeakGainCurve!$E$27:$E$39</c:f>
              <c:numCache>
                <c:formatCode>General</c:formatCode>
                <c:ptCount val="13"/>
                <c:pt idx="1">
                  <c:v>1.2789999999999999</c:v>
                </c:pt>
                <c:pt idx="2">
                  <c:v>1.2909999999999999</c:v>
                </c:pt>
                <c:pt idx="3">
                  <c:v>1.3080000000000001</c:v>
                </c:pt>
                <c:pt idx="4">
                  <c:v>1.331</c:v>
                </c:pt>
                <c:pt idx="5">
                  <c:v>1.3680000000000001</c:v>
                </c:pt>
                <c:pt idx="6">
                  <c:v>1.4259999999999999</c:v>
                </c:pt>
                <c:pt idx="7">
                  <c:v>1.5229999999999999</c:v>
                </c:pt>
                <c:pt idx="8">
                  <c:v>1.6879999999999999</c:v>
                </c:pt>
                <c:pt idx="9">
                  <c:v>1.976</c:v>
                </c:pt>
                <c:pt idx="10">
                  <c:v>2.5070000000000001</c:v>
                </c:pt>
                <c:pt idx="11">
                  <c:v>3.629</c:v>
                </c:pt>
                <c:pt idx="12">
                  <c:v>7.0659999999999998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70-45C4-8F15-88AB832AE36C}"/>
            </c:ext>
          </c:extLst>
        </c:ser>
        <c:ser>
          <c:idx val="4"/>
          <c:order val="4"/>
          <c:tx>
            <c:strRef>
              <c:f>PeakGainCurve!$F$26</c:f>
              <c:strCache>
                <c:ptCount val="1"/>
                <c:pt idx="0">
                  <c:v>m=3.5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PeakGainCurve!$F$27:$F$39</c:f>
              <c:numCache>
                <c:formatCode>General</c:formatCode>
                <c:ptCount val="13"/>
                <c:pt idx="1">
                  <c:v>1.2210000000000001</c:v>
                </c:pt>
                <c:pt idx="2">
                  <c:v>1.23</c:v>
                </c:pt>
                <c:pt idx="3">
                  <c:v>1.2410000000000001</c:v>
                </c:pt>
                <c:pt idx="4">
                  <c:v>1.2589999999999999</c:v>
                </c:pt>
                <c:pt idx="5">
                  <c:v>1.2849999999999999</c:v>
                </c:pt>
                <c:pt idx="6">
                  <c:v>1.3280000000000001</c:v>
                </c:pt>
                <c:pt idx="7">
                  <c:v>1.4039999999999999</c:v>
                </c:pt>
                <c:pt idx="8">
                  <c:v>1.54</c:v>
                </c:pt>
                <c:pt idx="9">
                  <c:v>1.788</c:v>
                </c:pt>
                <c:pt idx="10">
                  <c:v>2.2559999999999998</c:v>
                </c:pt>
                <c:pt idx="11">
                  <c:v>3.2549999999999999</c:v>
                </c:pt>
                <c:pt idx="12">
                  <c:v>6.3579999999999997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70-45C4-8F15-88AB832AE36C}"/>
            </c:ext>
          </c:extLst>
        </c:ser>
        <c:ser>
          <c:idx val="5"/>
          <c:order val="5"/>
          <c:tx>
            <c:strRef>
              <c:f>PeakGainCurve!$G$26</c:f>
              <c:strCache>
                <c:ptCount val="1"/>
                <c:pt idx="0">
                  <c:v>m=4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PeakGainCurve!$G$27:$G$39</c:f>
              <c:numCache>
                <c:formatCode>General</c:formatCode>
                <c:ptCount val="13"/>
                <c:pt idx="1">
                  <c:v>1.1830000000000001</c:v>
                </c:pt>
                <c:pt idx="2">
                  <c:v>1.1890000000000001</c:v>
                </c:pt>
                <c:pt idx="3">
                  <c:v>1.198</c:v>
                </c:pt>
                <c:pt idx="4">
                  <c:v>1.2110000000000001</c:v>
                </c:pt>
                <c:pt idx="5">
                  <c:v>1.23</c:v>
                </c:pt>
                <c:pt idx="6">
                  <c:v>1.2629999999999999</c:v>
                </c:pt>
                <c:pt idx="7">
                  <c:v>1.3220000000000001</c:v>
                </c:pt>
                <c:pt idx="8">
                  <c:v>1.4350000000000001</c:v>
                </c:pt>
                <c:pt idx="9">
                  <c:v>1.6519999999999999</c:v>
                </c:pt>
                <c:pt idx="10">
                  <c:v>2.0710000000000002</c:v>
                </c:pt>
                <c:pt idx="11">
                  <c:v>2.9769999999999999</c:v>
                </c:pt>
                <c:pt idx="12">
                  <c:v>5.806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370-45C4-8F15-88AB832AE36C}"/>
            </c:ext>
          </c:extLst>
        </c:ser>
        <c:ser>
          <c:idx val="6"/>
          <c:order val="6"/>
          <c:tx>
            <c:strRef>
              <c:f>PeakGainCurve!$H$26</c:f>
              <c:strCache>
                <c:ptCount val="1"/>
                <c:pt idx="0">
                  <c:v>m=4.5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PeakGainCurve!$H$27:$H$39</c:f>
              <c:numCache>
                <c:formatCode>General</c:formatCode>
                <c:ptCount val="13"/>
                <c:pt idx="1">
                  <c:v>1.1559999999999999</c:v>
                </c:pt>
                <c:pt idx="2">
                  <c:v>1.1599999999999999</c:v>
                </c:pt>
                <c:pt idx="3">
                  <c:v>1.167</c:v>
                </c:pt>
                <c:pt idx="4">
                  <c:v>1.177</c:v>
                </c:pt>
                <c:pt idx="5">
                  <c:v>1.1919999999999999</c:v>
                </c:pt>
                <c:pt idx="6">
                  <c:v>1.2170000000000001</c:v>
                </c:pt>
                <c:pt idx="7">
                  <c:v>1.2629999999999999</c:v>
                </c:pt>
                <c:pt idx="8">
                  <c:v>1.3580000000000001</c:v>
                </c:pt>
                <c:pt idx="9">
                  <c:v>1.548</c:v>
                </c:pt>
                <c:pt idx="10">
                  <c:v>1.93</c:v>
                </c:pt>
                <c:pt idx="11">
                  <c:v>2.766</c:v>
                </c:pt>
                <c:pt idx="12">
                  <c:v>5.3890000000000002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70-45C4-8F15-88AB832AE36C}"/>
            </c:ext>
          </c:extLst>
        </c:ser>
        <c:ser>
          <c:idx val="7"/>
          <c:order val="7"/>
          <c:tx>
            <c:strRef>
              <c:f>PeakGainCurve!$I$26</c:f>
              <c:strCache>
                <c:ptCount val="1"/>
                <c:pt idx="0">
                  <c:v>m=5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PeakGainCurve!$I$27:$I$39</c:f>
              <c:numCache>
                <c:formatCode>General</c:formatCode>
                <c:ptCount val="13"/>
                <c:pt idx="1">
                  <c:v>1.135</c:v>
                </c:pt>
                <c:pt idx="2">
                  <c:v>1.139</c:v>
                </c:pt>
                <c:pt idx="3">
                  <c:v>1.1439999999999999</c:v>
                </c:pt>
                <c:pt idx="4">
                  <c:v>1.1519999999999999</c:v>
                </c:pt>
                <c:pt idx="5">
                  <c:v>1.163</c:v>
                </c:pt>
                <c:pt idx="6">
                  <c:v>1.1830000000000001</c:v>
                </c:pt>
                <c:pt idx="7">
                  <c:v>1.22</c:v>
                </c:pt>
                <c:pt idx="8">
                  <c:v>1.298</c:v>
                </c:pt>
                <c:pt idx="9">
                  <c:v>1.4670000000000001</c:v>
                </c:pt>
                <c:pt idx="10">
                  <c:v>1.8160000000000001</c:v>
                </c:pt>
                <c:pt idx="11">
                  <c:v>2.5939999999999999</c:v>
                </c:pt>
                <c:pt idx="12">
                  <c:v>5.0449999999999999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370-45C4-8F15-88AB832AE36C}"/>
            </c:ext>
          </c:extLst>
        </c:ser>
        <c:ser>
          <c:idx val="8"/>
          <c:order val="8"/>
          <c:tx>
            <c:strRef>
              <c:f>PeakGainCurve!$J$26</c:f>
              <c:strCache>
                <c:ptCount val="1"/>
                <c:pt idx="0">
                  <c:v>m=6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PeakGainCurve!$J$27:$J$39</c:f>
              <c:numCache>
                <c:formatCode>General</c:formatCode>
                <c:ptCount val="13"/>
                <c:pt idx="1">
                  <c:v>1.107</c:v>
                </c:pt>
                <c:pt idx="2">
                  <c:v>1.1100000000000001</c:v>
                </c:pt>
                <c:pt idx="3">
                  <c:v>1.1180000000000001</c:v>
                </c:pt>
                <c:pt idx="4">
                  <c:v>1.1180000000000001</c:v>
                </c:pt>
                <c:pt idx="5">
                  <c:v>1.125</c:v>
                </c:pt>
                <c:pt idx="6">
                  <c:v>1.1379999999999999</c:v>
                </c:pt>
                <c:pt idx="7">
                  <c:v>1.1619999999999999</c:v>
                </c:pt>
                <c:pt idx="8">
                  <c:v>1.216</c:v>
                </c:pt>
                <c:pt idx="9">
                  <c:v>1.3480000000000001</c:v>
                </c:pt>
                <c:pt idx="10">
                  <c:v>1.6459999999999999</c:v>
                </c:pt>
                <c:pt idx="11">
                  <c:v>2.3319999999999999</c:v>
                </c:pt>
                <c:pt idx="12">
                  <c:v>4.508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370-45C4-8F15-88AB832AE36C}"/>
            </c:ext>
          </c:extLst>
        </c:ser>
        <c:ser>
          <c:idx val="9"/>
          <c:order val="9"/>
          <c:tx>
            <c:strRef>
              <c:f>PeakGainCurve!$K$26</c:f>
              <c:strCache>
                <c:ptCount val="1"/>
                <c:pt idx="0">
                  <c:v>m=7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PeakGainCurve!$K$27:$K$39</c:f>
              <c:numCache>
                <c:formatCode>General</c:formatCode>
                <c:ptCount val="13"/>
                <c:pt idx="1">
                  <c:v>1.0880000000000001</c:v>
                </c:pt>
                <c:pt idx="2">
                  <c:v>1.0900000000000001</c:v>
                </c:pt>
                <c:pt idx="3">
                  <c:v>1.093</c:v>
                </c:pt>
                <c:pt idx="4">
                  <c:v>1.0960000000000001</c:v>
                </c:pt>
                <c:pt idx="5">
                  <c:v>1.101</c:v>
                </c:pt>
                <c:pt idx="6">
                  <c:v>1.1100000000000001</c:v>
                </c:pt>
                <c:pt idx="7">
                  <c:v>1.1259999999999999</c:v>
                </c:pt>
                <c:pt idx="8">
                  <c:v>1.163</c:v>
                </c:pt>
                <c:pt idx="9">
                  <c:v>1.2649999999999999</c:v>
                </c:pt>
                <c:pt idx="10">
                  <c:v>1.5229999999999999</c:v>
                </c:pt>
                <c:pt idx="11">
                  <c:v>2.14</c:v>
                </c:pt>
                <c:pt idx="12">
                  <c:v>4.1289999999999996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370-45C4-8F15-88AB832AE36C}"/>
            </c:ext>
          </c:extLst>
        </c:ser>
        <c:ser>
          <c:idx val="10"/>
          <c:order val="10"/>
          <c:tx>
            <c:strRef>
              <c:f>PeakGainCurve!$L$26</c:f>
              <c:strCache>
                <c:ptCount val="1"/>
                <c:pt idx="0">
                  <c:v>m=8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PeakGainCurve!$L$27:$L$39</c:f>
              <c:numCache>
                <c:formatCode>General</c:formatCode>
                <c:ptCount val="13"/>
                <c:pt idx="1">
                  <c:v>1.075</c:v>
                </c:pt>
                <c:pt idx="2">
                  <c:v>1.077</c:v>
                </c:pt>
                <c:pt idx="3">
                  <c:v>1.0780000000000001</c:v>
                </c:pt>
                <c:pt idx="4">
                  <c:v>1.081</c:v>
                </c:pt>
                <c:pt idx="5">
                  <c:v>1.085</c:v>
                </c:pt>
                <c:pt idx="6">
                  <c:v>1.091</c:v>
                </c:pt>
                <c:pt idx="7">
                  <c:v>1.1020000000000001</c:v>
                </c:pt>
                <c:pt idx="8">
                  <c:v>1.1279999999999999</c:v>
                </c:pt>
                <c:pt idx="9">
                  <c:v>1.206</c:v>
                </c:pt>
                <c:pt idx="10">
                  <c:v>1.43</c:v>
                </c:pt>
                <c:pt idx="11">
                  <c:v>1.9930000000000001</c:v>
                </c:pt>
                <c:pt idx="12">
                  <c:v>3.8279999999999998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370-45C4-8F15-88AB832AE36C}"/>
            </c:ext>
          </c:extLst>
        </c:ser>
        <c:ser>
          <c:idx val="11"/>
          <c:order val="11"/>
          <c:tx>
            <c:strRef>
              <c:f>PeakGainCurve!$M$26</c:f>
              <c:strCache>
                <c:ptCount val="1"/>
                <c:pt idx="0">
                  <c:v>m=9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PeakGainCurve!$M$27:$M$39</c:f>
              <c:numCache>
                <c:formatCode>General</c:formatCode>
                <c:ptCount val="13"/>
                <c:pt idx="1">
                  <c:v>1.0649999999999999</c:v>
                </c:pt>
                <c:pt idx="2">
                  <c:v>1.0660000000000001</c:v>
                </c:pt>
                <c:pt idx="3">
                  <c:v>1.0680000000000001</c:v>
                </c:pt>
                <c:pt idx="4">
                  <c:v>1.07</c:v>
                </c:pt>
                <c:pt idx="5">
                  <c:v>1.073</c:v>
                </c:pt>
                <c:pt idx="6">
                  <c:v>1.077</c:v>
                </c:pt>
                <c:pt idx="7">
                  <c:v>1.0860000000000001</c:v>
                </c:pt>
                <c:pt idx="8">
                  <c:v>1.1040000000000001</c:v>
                </c:pt>
                <c:pt idx="9">
                  <c:v>1.163</c:v>
                </c:pt>
                <c:pt idx="10">
                  <c:v>1.357</c:v>
                </c:pt>
                <c:pt idx="11">
                  <c:v>1.8740000000000001</c:v>
                </c:pt>
                <c:pt idx="12">
                  <c:v>3.5830000000000002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370-45C4-8F15-88AB832AE36C}"/>
            </c:ext>
          </c:extLst>
        </c:ser>
        <c:ser>
          <c:idx val="12"/>
          <c:order val="12"/>
          <c:tx>
            <c:strRef>
              <c:f>PeakGainCurve!$N$26</c:f>
              <c:strCache>
                <c:ptCount val="1"/>
                <c:pt idx="0">
                  <c:v>m=10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PeakGainCurve!$N$27:$N$39</c:f>
              <c:numCache>
                <c:formatCode>General</c:formatCode>
                <c:ptCount val="13"/>
                <c:pt idx="1">
                  <c:v>1.0580000000000001</c:v>
                </c:pt>
                <c:pt idx="2">
                  <c:v>1.0589999999999999</c:v>
                </c:pt>
                <c:pt idx="3">
                  <c:v>1.06</c:v>
                </c:pt>
                <c:pt idx="4">
                  <c:v>1.0609999999999999</c:v>
                </c:pt>
                <c:pt idx="5">
                  <c:v>1.0640000000000001</c:v>
                </c:pt>
                <c:pt idx="6">
                  <c:v>1.0669999999999999</c:v>
                </c:pt>
                <c:pt idx="7">
                  <c:v>1.0740000000000001</c:v>
                </c:pt>
                <c:pt idx="8">
                  <c:v>1.0880000000000001</c:v>
                </c:pt>
                <c:pt idx="9">
                  <c:v>1.131</c:v>
                </c:pt>
                <c:pt idx="10">
                  <c:v>1.2989999999999999</c:v>
                </c:pt>
                <c:pt idx="11">
                  <c:v>1.7769999999999999</c:v>
                </c:pt>
                <c:pt idx="12">
                  <c:v>3.3839999999999999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370-45C4-8F15-88AB832AE36C}"/>
            </c:ext>
          </c:extLst>
        </c:ser>
        <c:ser>
          <c:idx val="13"/>
          <c:order val="13"/>
          <c:tx>
            <c:strRef>
              <c:f>PeakGainCurve!$O$26</c:f>
              <c:strCache>
                <c:ptCount val="1"/>
                <c:pt idx="0">
                  <c:v>m=12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PeakGainCurve!$O$27:$O$39</c:f>
              <c:numCache>
                <c:formatCode>General</c:formatCode>
                <c:ptCount val="13"/>
                <c:pt idx="1">
                  <c:v>1.0469999999999999</c:v>
                </c:pt>
                <c:pt idx="2">
                  <c:v>1.048</c:v>
                </c:pt>
                <c:pt idx="3">
                  <c:v>1.048</c:v>
                </c:pt>
                <c:pt idx="4">
                  <c:v>1.0489999999999999</c:v>
                </c:pt>
                <c:pt idx="5">
                  <c:v>1.0509999999999999</c:v>
                </c:pt>
                <c:pt idx="6">
                  <c:v>1.0529999999999999</c:v>
                </c:pt>
                <c:pt idx="7">
                  <c:v>1.0569999999999999</c:v>
                </c:pt>
                <c:pt idx="8">
                  <c:v>1.0660000000000001</c:v>
                </c:pt>
                <c:pt idx="9">
                  <c:v>1.091</c:v>
                </c:pt>
                <c:pt idx="10">
                  <c:v>1.212</c:v>
                </c:pt>
                <c:pt idx="11">
                  <c:v>1.6259999999999999</c:v>
                </c:pt>
                <c:pt idx="12">
                  <c:v>3.069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370-45C4-8F15-88AB832AE36C}"/>
            </c:ext>
          </c:extLst>
        </c:ser>
        <c:ser>
          <c:idx val="14"/>
          <c:order val="14"/>
          <c:tx>
            <c:strRef>
              <c:f>PeakGainCurve!$P$26</c:f>
              <c:strCache>
                <c:ptCount val="1"/>
                <c:pt idx="0">
                  <c:v>m=14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PeakGainCurve!$P$27:$P$39</c:f>
              <c:numCache>
                <c:formatCode>General</c:formatCode>
                <c:ptCount val="13"/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1.0409999999999999</c:v>
                </c:pt>
                <c:pt idx="5">
                  <c:v>1.042</c:v>
                </c:pt>
                <c:pt idx="6">
                  <c:v>1.044</c:v>
                </c:pt>
                <c:pt idx="7">
                  <c:v>1.0469999999999999</c:v>
                </c:pt>
                <c:pt idx="8">
                  <c:v>1.052</c:v>
                </c:pt>
                <c:pt idx="9">
                  <c:v>1.0680000000000001</c:v>
                </c:pt>
                <c:pt idx="10">
                  <c:v>1.1519999999999999</c:v>
                </c:pt>
                <c:pt idx="11">
                  <c:v>1.5129999999999999</c:v>
                </c:pt>
                <c:pt idx="12">
                  <c:v>2.8279999999999998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370-45C4-8F15-88AB832AE36C}"/>
            </c:ext>
          </c:extLst>
        </c:ser>
        <c:ser>
          <c:idx val="15"/>
          <c:order val="15"/>
          <c:tx>
            <c:strRef>
              <c:f>PeakGainCurve!$Q$26</c:f>
              <c:strCache>
                <c:ptCount val="1"/>
                <c:pt idx="0">
                  <c:v>m=16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PeakGainCurve!$Q$27:$Q$39</c:f>
              <c:numCache>
                <c:formatCode>General</c:formatCode>
                <c:ptCount val="13"/>
                <c:pt idx="1">
                  <c:v>1.034</c:v>
                </c:pt>
                <c:pt idx="2">
                  <c:v>1.0349999999999999</c:v>
                </c:pt>
                <c:pt idx="3">
                  <c:v>1.0349999999999999</c:v>
                </c:pt>
                <c:pt idx="4">
                  <c:v>1.0349999999999999</c:v>
                </c:pt>
                <c:pt idx="5">
                  <c:v>1.036</c:v>
                </c:pt>
                <c:pt idx="6">
                  <c:v>1.0369999999999999</c:v>
                </c:pt>
                <c:pt idx="7">
                  <c:v>1.0389999999999999</c:v>
                </c:pt>
                <c:pt idx="8">
                  <c:v>1.0429999999999999</c:v>
                </c:pt>
                <c:pt idx="9">
                  <c:v>1.054</c:v>
                </c:pt>
                <c:pt idx="10">
                  <c:v>1.1100000000000001</c:v>
                </c:pt>
                <c:pt idx="11">
                  <c:v>1.4259999999999999</c:v>
                </c:pt>
                <c:pt idx="12">
                  <c:v>2.5110000000000001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370-45C4-8F15-88AB832AE36C}"/>
            </c:ext>
          </c:extLst>
        </c:ser>
        <c:ser>
          <c:idx val="16"/>
          <c:order val="16"/>
          <c:tx>
            <c:v>Req. Gain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pPr>
              <a:ln>
                <a:solidFill>
                  <a:srgbClr val="FF0000"/>
                </a:solidFill>
                <a:prstDash val="sysDot"/>
              </a:ln>
            </c:spPr>
          </c:marker>
          <c:xVal>
            <c:numRef>
              <c:f>PeakGainCurve!$A$28:$A$39</c:f>
              <c:numCache>
                <c:formatCode>General</c:formatCode>
                <c:ptCount val="12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</c:numCache>
            </c:numRef>
          </c:xVal>
          <c:yVal>
            <c:numRef>
              <c:f>PeakGainCurve!$R$28:$R$39</c:f>
              <c:numCache>
                <c:formatCode>General</c:formatCode>
                <c:ptCount val="12"/>
                <c:pt idx="0">
                  <c:v>1.49292</c:v>
                </c:pt>
                <c:pt idx="1">
                  <c:v>1.49292</c:v>
                </c:pt>
                <c:pt idx="2">
                  <c:v>1.49292</c:v>
                </c:pt>
                <c:pt idx="3">
                  <c:v>1.49292</c:v>
                </c:pt>
                <c:pt idx="4">
                  <c:v>1.49292</c:v>
                </c:pt>
                <c:pt idx="5">
                  <c:v>1.49292</c:v>
                </c:pt>
                <c:pt idx="6">
                  <c:v>1.49292</c:v>
                </c:pt>
                <c:pt idx="7">
                  <c:v>1.49292</c:v>
                </c:pt>
                <c:pt idx="8">
                  <c:v>1.49292</c:v>
                </c:pt>
                <c:pt idx="9">
                  <c:v>1.49292</c:v>
                </c:pt>
                <c:pt idx="10">
                  <c:v>1.49292</c:v>
                </c:pt>
                <c:pt idx="11">
                  <c:v>1.49292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F1-419D-B450-F58A507CB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25952"/>
        <c:axId val="158927488"/>
      </c:scatterChart>
      <c:valAx>
        <c:axId val="158925952"/>
        <c:scaling>
          <c:orientation val="minMax"/>
          <c:max val="0.95000000000000062"/>
          <c:min val="0.15000000000000002"/>
        </c:scaling>
        <c:delete val="0"/>
        <c:axPos val="b"/>
        <c:majorGridlines>
          <c:spPr>
            <a:ln>
              <a:prstDash val="sysDash"/>
            </a:ln>
          </c:spPr>
        </c:majorGridlines>
        <c:minorGridlines>
          <c:spPr>
            <a:ln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8927488"/>
        <c:crosses val="autoZero"/>
        <c:crossBetween val="midCat"/>
        <c:majorUnit val="0.1"/>
        <c:minorUnit val="2.0000000000000004E-2"/>
      </c:valAx>
      <c:valAx>
        <c:axId val="158927488"/>
        <c:scaling>
          <c:orientation val="minMax"/>
          <c:max val="1.5"/>
          <c:min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Peak Gain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8925952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415929788437462"/>
          <c:y val="2.0245533824400981E-2"/>
          <c:w val="0.23465736274491114"/>
          <c:h val="0.9072644145288291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lang="en-US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Plant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B1-4169-A850-DCC43073EA30}"/>
            </c:ext>
          </c:extLst>
        </c:ser>
        <c:ser>
          <c:idx val="1"/>
          <c:order val="1"/>
          <c:tx>
            <c:v>compensator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B1-4169-A850-DCC43073EA30}"/>
            </c:ext>
          </c:extLst>
        </c:ser>
        <c:ser>
          <c:idx val="2"/>
          <c:order val="2"/>
          <c:tx>
            <c:v>Loop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B1-4169-A850-DCC43073E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489848"/>
        <c:axId val="355490240"/>
      </c:scatterChart>
      <c:valAx>
        <c:axId val="355489848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90240"/>
        <c:crosses val="autoZero"/>
        <c:crossBetween val="midCat"/>
      </c:valAx>
      <c:valAx>
        <c:axId val="35549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Phase (degree)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8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8370203724552"/>
          <c:y val="2.8856451423104276E-2"/>
          <c:w val="0.82827157926013961"/>
          <c:h val="0.906032038392861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GainCurve!$C$7</c:f>
              <c:strCache>
                <c:ptCount val="1"/>
                <c:pt idx="0">
                  <c:v>100% load</c:v>
                </c:pt>
              </c:strCache>
            </c:strRef>
          </c:tx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GainCurve!$C$8:$C$125</c:f>
              <c:numCache>
                <c:formatCode>0.00</c:formatCode>
                <c:ptCount val="118"/>
                <c:pt idx="0">
                  <c:v>1.2003568191826128</c:v>
                </c:pt>
                <c:pt idx="1">
                  <c:v>1.2690739227165109</c:v>
                </c:pt>
                <c:pt idx="2">
                  <c:v>1.3403230359792806</c:v>
                </c:pt>
                <c:pt idx="3">
                  <c:v>1.4135100997140584</c:v>
                </c:pt>
                <c:pt idx="4">
                  <c:v>1.4878166737874339</c:v>
                </c:pt>
                <c:pt idx="5">
                  <c:v>1.5621802759544199</c:v>
                </c:pt>
                <c:pt idx="6">
                  <c:v>1.6352948267952665</c:v>
                </c:pt>
                <c:pt idx="7">
                  <c:v>1.7056410348817592</c:v>
                </c:pt>
                <c:pt idx="8">
                  <c:v>1.7715545192370181</c:v>
                </c:pt>
                <c:pt idx="9">
                  <c:v>1.8313335603942431</c:v>
                </c:pt>
                <c:pt idx="10">
                  <c:v>1.8833786989574379</c:v>
                </c:pt>
                <c:pt idx="11">
                  <c:v>1.9263451872044854</c:v>
                </c:pt>
                <c:pt idx="12">
                  <c:v>1.9592808250170719</c:v>
                </c:pt>
                <c:pt idx="13">
                  <c:v>1.9817205992583022</c:v>
                </c:pt>
                <c:pt idx="14">
                  <c:v>1.9937179387985382</c:v>
                </c:pt>
                <c:pt idx="15">
                  <c:v>1.9958079687500141</c:v>
                </c:pt>
                <c:pt idx="16">
                  <c:v>1.9889148490996644</c:v>
                </c:pt>
                <c:pt idx="17">
                  <c:v>1.9742266787382037</c:v>
                </c:pt>
                <c:pt idx="18">
                  <c:v>1.9530642064807919</c:v>
                </c:pt>
                <c:pt idx="19">
                  <c:v>1.9267646629261925</c:v>
                </c:pt>
                <c:pt idx="20">
                  <c:v>1.8965931282189292</c:v>
                </c:pt>
                <c:pt idx="21">
                  <c:v>1.8636849440852832</c:v>
                </c:pt>
                <c:pt idx="22">
                  <c:v>1.829016239449816</c:v>
                </c:pt>
                <c:pt idx="23">
                  <c:v>1.7933963249166125</c:v>
                </c:pt>
                <c:pt idx="24">
                  <c:v>1.7574749584090164</c:v>
                </c:pt>
                <c:pt idx="25">
                  <c:v>1.7217582912710647</c:v>
                </c:pt>
                <c:pt idx="26">
                  <c:v>1.6866287666838486</c:v>
                </c:pt>
                <c:pt idx="27">
                  <c:v>1.6523657611962326</c:v>
                </c:pt>
                <c:pt idx="28">
                  <c:v>1.6191650356783918</c:v>
                </c:pt>
                <c:pt idx="29">
                  <c:v>1.5871560024335167</c:v>
                </c:pt>
                <c:pt idx="30">
                  <c:v>1.5564164418060331</c:v>
                </c:pt>
                <c:pt idx="31">
                  <c:v>1.5269846804105436</c:v>
                </c:pt>
                <c:pt idx="32">
                  <c:v>1.4988694462734142</c:v>
                </c:pt>
                <c:pt idx="33">
                  <c:v>1.4720577050110049</c:v>
                </c:pt>
                <c:pt idx="34">
                  <c:v>1.4465208013258888</c:v>
                </c:pt>
                <c:pt idx="35">
                  <c:v>1.4222192127637707</c:v>
                </c:pt>
                <c:pt idx="36">
                  <c:v>1.3991061876874544</c:v>
                </c:pt>
                <c:pt idx="37">
                  <c:v>1.377130498604231</c:v>
                </c:pt>
                <c:pt idx="38">
                  <c:v>1.3562385018295198</c:v>
                </c:pt>
                <c:pt idx="39">
                  <c:v>1.3363756581652337</c:v>
                </c:pt>
                <c:pt idx="40">
                  <c:v>1.3174876380422524</c:v>
                </c:pt>
                <c:pt idx="41">
                  <c:v>1.2995211085680103</c:v>
                </c:pt>
                <c:pt idx="42">
                  <c:v>1.2824242787361806</c:v>
                </c:pt>
                <c:pt idx="43">
                  <c:v>1.266147262072465</c:v>
                </c:pt>
                <c:pt idx="44">
                  <c:v>1.2506423025326663</c:v>
                </c:pt>
                <c:pt idx="45">
                  <c:v>1.2358638988969513</c:v>
                </c:pt>
                <c:pt idx="46">
                  <c:v>1.2217688546533707</c:v>
                </c:pt>
                <c:pt idx="47">
                  <c:v>1.2083162739574331</c:v>
                </c:pt>
                <c:pt idx="48">
                  <c:v>1.195467519300506</c:v>
                </c:pt>
                <c:pt idx="49">
                  <c:v>1.1831861427016455</c:v>
                </c:pt>
                <c:pt idx="50">
                  <c:v>1.1714377993030742</c:v>
                </c:pt>
                <c:pt idx="51">
                  <c:v>1.1601901500001828</c:v>
                </c:pt>
                <c:pt idx="52">
                  <c:v>1.1494127580171598</c:v>
                </c:pt>
                <c:pt idx="53">
                  <c:v>1.1390769830278555</c:v>
                </c:pt>
                <c:pt idx="54">
                  <c:v>1.1291558754242805</c:v>
                </c:pt>
                <c:pt idx="55">
                  <c:v>1.1196240725795219</c:v>
                </c:pt>
                <c:pt idx="56">
                  <c:v>1.1104576983815508</c:v>
                </c:pt>
                <c:pt idx="57">
                  <c:v>1.1016342668862094</c:v>
                </c:pt>
                <c:pt idx="58">
                  <c:v>1.0931325906181077</c:v>
                </c:pt>
                <c:pt idx="59">
                  <c:v>1.0849326938117447</c:v>
                </c:pt>
                <c:pt idx="60">
                  <c:v>1.0770157307119415</c:v>
                </c:pt>
                <c:pt idx="61">
                  <c:v>1.0693639089276963</c:v>
                </c:pt>
                <c:pt idx="62">
                  <c:v>1.0619604177450011</c:v>
                </c:pt>
                <c:pt idx="63">
                  <c:v>1.0547893612431816</c:v>
                </c:pt>
                <c:pt idx="64">
                  <c:v>1.0478356960190469</c:v>
                </c:pt>
                <c:pt idx="65">
                  <c:v>1.0410851732982662</c:v>
                </c:pt>
                <c:pt idx="66">
                  <c:v>1.0345242851999938</c:v>
                </c:pt>
                <c:pt idx="67">
                  <c:v>1.0281402149157102</c:v>
                </c:pt>
                <c:pt idx="68">
                  <c:v>1.0219207905642069</c:v>
                </c:pt>
                <c:pt idx="69">
                  <c:v>1.0158544424898999</c:v>
                </c:pt>
                <c:pt idx="70">
                  <c:v>1.0099301637797624</c:v>
                </c:pt>
                <c:pt idx="71">
                  <c:v>1.0041374737842554</c:v>
                </c:pt>
                <c:pt idx="72">
                  <c:v>0.99846638443878744</c:v>
                </c:pt>
                <c:pt idx="73">
                  <c:v>0.99290736919403633</c:v>
                </c:pt>
                <c:pt idx="74">
                  <c:v>0.98745133437542698</c:v>
                </c:pt>
                <c:pt idx="75">
                  <c:v>0.98208959280387131</c:v>
                </c:pt>
                <c:pt idx="76">
                  <c:v>0.97681383952141387</c:v>
                </c:pt>
                <c:pt idx="77">
                  <c:v>0.97161612947642673</c:v>
                </c:pt>
                <c:pt idx="78">
                  <c:v>0.96648885703348175</c:v>
                </c:pt>
                <c:pt idx="79">
                  <c:v>0.9614247371828325</c:v>
                </c:pt>
                <c:pt idx="80">
                  <c:v>0.95641678833362187</c:v>
                </c:pt>
                <c:pt idx="81">
                  <c:v>0.95145831658341951</c:v>
                </c:pt>
                <c:pt idx="82">
                  <c:v>0.94654290136452324</c:v>
                </c:pt>
                <c:pt idx="83">
                  <c:v>0.94166438237462224</c:v>
                </c:pt>
                <c:pt idx="84">
                  <c:v>0.93681684770597495</c:v>
                </c:pt>
                <c:pt idx="85">
                  <c:v>0.93199462309318171</c:v>
                </c:pt>
                <c:pt idx="86">
                  <c:v>0.92719226220499396</c:v>
                </c:pt>
                <c:pt idx="87">
                  <c:v>0.9224045379104221</c:v>
                </c:pt>
                <c:pt idx="88">
                  <c:v>0.91762643445371772</c:v>
                </c:pt>
                <c:pt idx="89">
                  <c:v>0.91285314047662625</c:v>
                </c:pt>
                <c:pt idx="90">
                  <c:v>0.90808004282972132</c:v>
                </c:pt>
                <c:pt idx="91">
                  <c:v>0.90330272111758625</c:v>
                </c:pt>
                <c:pt idx="92">
                  <c:v>0.89851694292524809</c:v>
                </c:pt>
                <c:pt idx="93">
                  <c:v>0.89371865967551323</c:v>
                </c:pt>
                <c:pt idx="94">
                  <c:v>0.88890400306882367</c:v>
                </c:pt>
                <c:pt idx="95">
                  <c:v>0.88406928205893298</c:v>
                </c:pt>
                <c:pt idx="96">
                  <c:v>0.87921098031912559</c:v>
                </c:pt>
                <c:pt idx="97">
                  <c:v>0.87432575415493474</c:v>
                </c:pt>
                <c:pt idx="98">
                  <c:v>0.86941043082032743</c:v>
                </c:pt>
                <c:pt idx="99">
                  <c:v>0.86446200719522803</c:v>
                </c:pt>
                <c:pt idx="100">
                  <c:v>0.85947764878298083</c:v>
                </c:pt>
                <c:pt idx="101">
                  <c:v>0.85445468898701904</c:v>
                </c:pt>
                <c:pt idx="102">
                  <c:v>0.84939062862659631</c:v>
                </c:pt>
                <c:pt idx="103">
                  <c:v>0.8442831356519801</c:v>
                </c:pt>
                <c:pt idx="104">
                  <c:v>0.83913004502004784</c:v>
                </c:pt>
                <c:pt idx="105">
                  <c:v>0.83392935869176943</c:v>
                </c:pt>
                <c:pt idx="106">
                  <c:v>0.82867924571365459</c:v>
                </c:pt>
                <c:pt idx="107">
                  <c:v>0.82337804234589085</c:v>
                </c:pt>
                <c:pt idx="108">
                  <c:v>0.81802425220063557</c:v>
                </c:pt>
                <c:pt idx="109">
                  <c:v>0.8126165463547671</c:v>
                </c:pt>
                <c:pt idx="110">
                  <c:v>0.80715376340237066</c:v>
                </c:pt>
                <c:pt idx="111">
                  <c:v>0.80163490941333482</c:v>
                </c:pt>
                <c:pt idx="112">
                  <c:v>0.79605915776570602</c:v>
                </c:pt>
                <c:pt idx="113">
                  <c:v>0.79042584882087152</c:v>
                </c:pt>
                <c:pt idx="114">
                  <c:v>0.78473448941224799</c:v>
                </c:pt>
                <c:pt idx="115">
                  <c:v>0.77898475211993023</c:v>
                </c:pt>
                <c:pt idx="116">
                  <c:v>0.77317647430572467</c:v>
                </c:pt>
                <c:pt idx="117">
                  <c:v>0.76730965688513053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1A-4E3F-AB41-1E62CB78DCEC}"/>
            </c:ext>
          </c:extLst>
        </c:ser>
        <c:ser>
          <c:idx val="1"/>
          <c:order val="1"/>
          <c:tx>
            <c:strRef>
              <c:f>GainCurve!$D$7</c:f>
              <c:strCache>
                <c:ptCount val="1"/>
                <c:pt idx="0">
                  <c:v>80% load</c:v>
                </c:pt>
              </c:strCache>
            </c:strRef>
          </c:tx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GainCurve!$D$8:$D$125</c:f>
              <c:numCache>
                <c:formatCode>0.00</c:formatCode>
                <c:ptCount val="118"/>
                <c:pt idx="0">
                  <c:v>1.3771334571820821</c:v>
                </c:pt>
                <c:pt idx="1">
                  <c:v>1.4714289893135293</c:v>
                </c:pt>
                <c:pt idx="2">
                  <c:v>1.5712807705229528</c:v>
                </c:pt>
                <c:pt idx="3">
                  <c:v>1.6759390509511811</c:v>
                </c:pt>
                <c:pt idx="4">
                  <c:v>1.7841273061486944</c:v>
                </c:pt>
                <c:pt idx="5">
                  <c:v>1.8939213511026924</c:v>
                </c:pt>
                <c:pt idx="6">
                  <c:v>2.002670765247843</c:v>
                </c:pt>
                <c:pt idx="7">
                  <c:v>2.1070143996940578</c:v>
                </c:pt>
                <c:pt idx="8">
                  <c:v>2.2030465494370404</c:v>
                </c:pt>
                <c:pt idx="9">
                  <c:v>2.2866690181498996</c:v>
                </c:pt>
                <c:pt idx="10">
                  <c:v>2.3541072383035222</c:v>
                </c:pt>
                <c:pt idx="11">
                  <c:v>2.4024882456699181</c:v>
                </c:pt>
                <c:pt idx="12">
                  <c:v>2.4303165456446578</c:v>
                </c:pt>
                <c:pt idx="13">
                  <c:v>2.4376907399203662</c:v>
                </c:pt>
                <c:pt idx="14">
                  <c:v>2.4261927078396734</c:v>
                </c:pt>
                <c:pt idx="15">
                  <c:v>2.3985057787328188</c:v>
                </c:pt>
                <c:pt idx="16">
                  <c:v>2.3579053426253891</c:v>
                </c:pt>
                <c:pt idx="17">
                  <c:v>2.307774166814212</c:v>
                </c:pt>
                <c:pt idx="18">
                  <c:v>2.251241557756559</c:v>
                </c:pt>
                <c:pt idx="19">
                  <c:v>2.1909759729346727</c:v>
                </c:pt>
                <c:pt idx="20">
                  <c:v>2.1291102799325907</c:v>
                </c:pt>
                <c:pt idx="21">
                  <c:v>2.0672576783588252</c:v>
                </c:pt>
                <c:pt idx="22">
                  <c:v>2.0065768697259805</c:v>
                </c:pt>
                <c:pt idx="23">
                  <c:v>1.9478555985518491</c:v>
                </c:pt>
                <c:pt idx="24">
                  <c:v>1.8915936641209945</c:v>
                </c:pt>
                <c:pt idx="25">
                  <c:v>1.8380759743502717</c:v>
                </c:pt>
                <c:pt idx="26">
                  <c:v>1.7874323565750385</c:v>
                </c:pt>
                <c:pt idx="27">
                  <c:v>1.7396842327176494</c:v>
                </c:pt>
                <c:pt idx="28">
                  <c:v>1.6947798150845808</c:v>
                </c:pt>
                <c:pt idx="29">
                  <c:v>1.6526199576557055</c:v>
                </c:pt>
                <c:pt idx="30">
                  <c:v>1.6130767349256838</c:v>
                </c:pt>
                <c:pt idx="31">
                  <c:v>1.5760065315597844</c:v>
                </c:pt>
                <c:pt idx="32">
                  <c:v>1.5412590794458407</c:v>
                </c:pt>
                <c:pt idx="33">
                  <c:v>1.5086835530057778</c:v>
                </c:pt>
                <c:pt idx="34">
                  <c:v>1.4781325587031973</c:v>
                </c:pt>
                <c:pt idx="35">
                  <c:v>1.4494646359590799</c:v>
                </c:pt>
                <c:pt idx="36">
                  <c:v>1.422545718911834</c:v>
                </c:pt>
                <c:pt idx="37">
                  <c:v>1.3972498828114266</c:v>
                </c:pt>
                <c:pt idx="38">
                  <c:v>1.373459606273514</c:v>
                </c:pt>
                <c:pt idx="39">
                  <c:v>1.3510657132157575</c:v>
                </c:pt>
                <c:pt idx="40">
                  <c:v>1.3299671096330414</c:v>
                </c:pt>
                <c:pt idx="41">
                  <c:v>1.3100703954615285</c:v>
                </c:pt>
                <c:pt idx="42">
                  <c:v>1.2912894068784719</c:v>
                </c:pt>
                <c:pt idx="43">
                  <c:v>1.2735447267047704</c:v>
                </c:pt>
                <c:pt idx="44">
                  <c:v>1.2567631880864036</c:v>
                </c:pt>
                <c:pt idx="45">
                  <c:v>1.2408773878536081</c:v>
                </c:pt>
                <c:pt idx="46">
                  <c:v>1.225825219828655</c:v>
                </c:pt>
                <c:pt idx="47">
                  <c:v>1.2115494341099313</c:v>
                </c:pt>
                <c:pt idx="48">
                  <c:v>1.1979972254537179</c:v>
                </c:pt>
                <c:pt idx="49">
                  <c:v>1.1851198519141384</c:v>
                </c:pt>
                <c:pt idx="50">
                  <c:v>1.1728722836065102</c:v>
                </c:pt>
                <c:pt idx="51">
                  <c:v>1.1612128806304503</c:v>
                </c:pt>
                <c:pt idx="52">
                  <c:v>1.1501030986847771</c:v>
                </c:pt>
                <c:pt idx="53">
                  <c:v>1.1395072206256371</c:v>
                </c:pt>
                <c:pt idx="54">
                  <c:v>1.1293921120909334</c:v>
                </c:pt>
                <c:pt idx="55">
                  <c:v>1.1197269992876353</c:v>
                </c:pt>
                <c:pt idx="56">
                  <c:v>1.1104832670782763</c:v>
                </c:pt>
                <c:pt idx="57">
                  <c:v>1.1016342755841815</c:v>
                </c:pt>
                <c:pt idx="58">
                  <c:v>1.0931551936283561</c:v>
                </c:pt>
                <c:pt idx="59">
                  <c:v>1.0850228474588464</c:v>
                </c:pt>
                <c:pt idx="60">
                  <c:v>1.0772155833155621</c:v>
                </c:pt>
                <c:pt idx="61">
                  <c:v>1.0697131425249811</c:v>
                </c:pt>
                <c:pt idx="62">
                  <c:v>1.0624965479242583</c:v>
                </c:pt>
                <c:pt idx="63">
                  <c:v>1.0555480005271556</c:v>
                </c:pt>
                <c:pt idx="64">
                  <c:v>1.0488507854476761</c:v>
                </c:pt>
                <c:pt idx="65">
                  <c:v>1.0423891861928578</c:v>
                </c:pt>
                <c:pt idx="66">
                  <c:v>1.0361484065238191</c:v>
                </c:pt>
                <c:pt idx="67">
                  <c:v>1.0301144991639648</c:v>
                </c:pt>
                <c:pt idx="68">
                  <c:v>1.0242743007057122</c:v>
                </c:pt>
                <c:pt idx="69">
                  <c:v>1.018615372132583</c:v>
                </c:pt>
                <c:pt idx="70">
                  <c:v>1.0131259444325498</c:v>
                </c:pt>
                <c:pt idx="71">
                  <c:v>1.0077948688316936</c:v>
                </c:pt>
                <c:pt idx="72">
                  <c:v>1.0026115712249761</c:v>
                </c:pt>
                <c:pt idx="73">
                  <c:v>0.99756601042380766</c:v>
                </c:pt>
                <c:pt idx="74">
                  <c:v>0.99264863987855378</c:v>
                </c:pt>
                <c:pt idx="75">
                  <c:v>0.98785037256859798</c:v>
                </c:pt>
                <c:pt idx="76">
                  <c:v>0.98316254878348541</c:v>
                </c:pt>
                <c:pt idx="77">
                  <c:v>0.97857690654635887</c:v>
                </c:pt>
                <c:pt idx="78">
                  <c:v>0.97408555445572242</c:v>
                </c:pt>
                <c:pt idx="79">
                  <c:v>0.96968094674379302</c:v>
                </c:pt>
                <c:pt idx="80">
                  <c:v>0.96535586036964316</c:v>
                </c:pt>
                <c:pt idx="81">
                  <c:v>0.96110337398319157</c:v>
                </c:pt>
                <c:pt idx="82">
                  <c:v>0.95691684861211668</c:v>
                </c:pt>
                <c:pt idx="83">
                  <c:v>0.95278990993811474</c:v>
                </c:pt>
                <c:pt idx="84">
                  <c:v>0.94871643204179801</c:v>
                </c:pt>
                <c:pt idx="85">
                  <c:v>0.9446905225070592</c:v>
                </c:pt>
                <c:pt idx="86">
                  <c:v>0.94070650878605655</c:v>
                </c:pt>
                <c:pt idx="87">
                  <c:v>0.93675892573523301</c:v>
                </c:pt>
                <c:pt idx="88">
                  <c:v>0.93284250424107029</c:v>
                </c:pt>
                <c:pt idx="89">
                  <c:v>0.9289521608616621</c:v>
                </c:pt>
                <c:pt idx="90">
                  <c:v>0.925082988416843</c:v>
                </c:pt>
                <c:pt idx="91">
                  <c:v>0.92123024746545545</c:v>
                </c:pt>
                <c:pt idx="92">
                  <c:v>0.91738935861362036</c:v>
                </c:pt>
                <c:pt idx="93">
                  <c:v>0.91355589560250527</c:v>
                </c:pt>
                <c:pt idx="94">
                  <c:v>0.90972557912819807</c:v>
                </c:pt>
                <c:pt idx="95">
                  <c:v>0.90589427134991696</c:v>
                </c:pt>
                <c:pt idx="96">
                  <c:v>0.90205797104594843</c:v>
                </c:pt>
                <c:pt idx="97">
                  <c:v>0.8982128093794689</c:v>
                </c:pt>
                <c:pt idx="98">
                  <c:v>0.89435504623876672</c:v>
                </c:pt>
                <c:pt idx="99">
                  <c:v>0.89048106711843733</c:v>
                </c:pt>
                <c:pt idx="100">
                  <c:v>0.88658738050981567</c:v>
                </c:pt>
                <c:pt idx="101">
                  <c:v>0.882670615770346</c:v>
                </c:pt>
                <c:pt idx="102">
                  <c:v>0.87872752144274291</c:v>
                </c:pt>
                <c:pt idx="103">
                  <c:v>0.87475496399571506</c:v>
                </c:pt>
                <c:pt idx="104">
                  <c:v>0.87074992695871767</c:v>
                </c:pt>
                <c:pt idx="105">
                  <c:v>0.86670951042369793</c:v>
                </c:pt>
                <c:pt idx="106">
                  <c:v>0.86263093088711618</c:v>
                </c:pt>
                <c:pt idx="107">
                  <c:v>0.85851152140569964</c:v>
                </c:pt>
                <c:pt idx="108">
                  <c:v>0.85434873203939821</c:v>
                </c:pt>
                <c:pt idx="109">
                  <c:v>0.85014013055494242</c:v>
                </c:pt>
                <c:pt idx="110">
                  <c:v>0.8458834033632131</c:v>
                </c:pt>
                <c:pt idx="111">
                  <c:v>0.84157635666337505</c:v>
                </c:pt>
                <c:pt idx="112">
                  <c:v>0.83721691776642659</c:v>
                </c:pt>
                <c:pt idx="113">
                  <c:v>0.83280313657047134</c:v>
                </c:pt>
                <c:pt idx="114">
                  <c:v>0.82833318715966253</c:v>
                </c:pt>
                <c:pt idx="115">
                  <c:v>0.82380536949843486</c:v>
                </c:pt>
                <c:pt idx="116">
                  <c:v>0.81921811119231802</c:v>
                </c:pt>
                <c:pt idx="117">
                  <c:v>0.81456996928637448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1A-4E3F-AB41-1E62CB78DCEC}"/>
            </c:ext>
          </c:extLst>
        </c:ser>
        <c:ser>
          <c:idx val="2"/>
          <c:order val="2"/>
          <c:tx>
            <c:strRef>
              <c:f>GainCurve!$E$7</c:f>
              <c:strCache>
                <c:ptCount val="1"/>
                <c:pt idx="0">
                  <c:v>60% load</c:v>
                </c:pt>
              </c:strCache>
            </c:strRef>
          </c:tx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GainCurve!$E$8:$E$125</c:f>
              <c:numCache>
                <c:formatCode>0.00</c:formatCode>
                <c:ptCount val="118"/>
                <c:pt idx="0">
                  <c:v>1.5859064626871553</c:v>
                </c:pt>
                <c:pt idx="1">
                  <c:v>1.7195993589640153</c:v>
                </c:pt>
                <c:pt idx="2">
                  <c:v>1.8662656101060411</c:v>
                </c:pt>
                <c:pt idx="3">
                  <c:v>2.0258455555707373</c:v>
                </c:pt>
                <c:pt idx="4">
                  <c:v>2.1971929341163796</c:v>
                </c:pt>
                <c:pt idx="5">
                  <c:v>2.3774692680653478</c:v>
                </c:pt>
                <c:pt idx="6">
                  <c:v>2.5614632772238197</c:v>
                </c:pt>
                <c:pt idx="7">
                  <c:v>2.7410680431959591</c:v>
                </c:pt>
                <c:pt idx="8">
                  <c:v>2.9053507938402223</c:v>
                </c:pt>
                <c:pt idx="9">
                  <c:v>3.0417333991407864</c:v>
                </c:pt>
                <c:pt idx="10">
                  <c:v>3.1384751828941169</c:v>
                </c:pt>
                <c:pt idx="11">
                  <c:v>3.1878041083177995</c:v>
                </c:pt>
                <c:pt idx="12">
                  <c:v>3.1882203999517635</c:v>
                </c:pt>
                <c:pt idx="13">
                  <c:v>3.1446630178468205</c:v>
                </c:pt>
                <c:pt idx="14">
                  <c:v>3.0665306923397453</c:v>
                </c:pt>
                <c:pt idx="15">
                  <c:v>2.9648080576627027</c:v>
                </c:pt>
                <c:pt idx="16">
                  <c:v>2.8496794735933708</c:v>
                </c:pt>
                <c:pt idx="17">
                  <c:v>2.7292573227616836</c:v>
                </c:pt>
                <c:pt idx="18">
                  <c:v>2.609300912516753</c:v>
                </c:pt>
                <c:pt idx="19">
                  <c:v>2.493505453079838</c:v>
                </c:pt>
                <c:pt idx="20">
                  <c:v>2.3839917749710584</c:v>
                </c:pt>
                <c:pt idx="21">
                  <c:v>2.2817850075568389</c:v>
                </c:pt>
                <c:pt idx="22">
                  <c:v>2.18719901704159</c:v>
                </c:pt>
                <c:pt idx="23">
                  <c:v>2.1001144529084033</c:v>
                </c:pt>
                <c:pt idx="24">
                  <c:v>2.0201669939203426</c:v>
                </c:pt>
                <c:pt idx="25">
                  <c:v>1.9468688691740819</c:v>
                </c:pt>
                <c:pt idx="26">
                  <c:v>1.879684198340869</c:v>
                </c:pt>
                <c:pt idx="27">
                  <c:v>1.818073774335828</c:v>
                </c:pt>
                <c:pt idx="28">
                  <c:v>1.7615202615561381</c:v>
                </c:pt>
                <c:pt idx="29">
                  <c:v>1.7095411676084811</c:v>
                </c:pt>
                <c:pt idx="30">
                  <c:v>1.6616943777656008</c:v>
                </c:pt>
                <c:pt idx="31">
                  <c:v>1.6175793045126421</c:v>
                </c:pt>
                <c:pt idx="32">
                  <c:v>1.5768355646658219</c:v>
                </c:pt>
                <c:pt idx="33">
                  <c:v>1.5391403627754909</c:v>
                </c:pt>
                <c:pt idx="34">
                  <c:v>1.504205293558861</c:v>
                </c:pt>
                <c:pt idx="35">
                  <c:v>1.4717729834128019</c:v>
                </c:pt>
                <c:pt idx="36">
                  <c:v>1.4416138091061326</c:v>
                </c:pt>
                <c:pt idx="37">
                  <c:v>1.4135228199821139</c:v>
                </c:pt>
                <c:pt idx="38">
                  <c:v>1.3873169224134487</c:v>
                </c:pt>
                <c:pt idx="39">
                  <c:v>1.3628323452989435</c:v>
                </c:pt>
                <c:pt idx="40">
                  <c:v>1.3399223825975501</c:v>
                </c:pt>
                <c:pt idx="41">
                  <c:v>1.3184553966536414</c:v>
                </c:pt>
                <c:pt idx="42">
                  <c:v>1.2983130602238688</c:v>
                </c:pt>
                <c:pt idx="43">
                  <c:v>1.2793888130714273</c:v>
                </c:pt>
                <c:pt idx="44">
                  <c:v>1.2615865091309146</c:v>
                </c:pt>
                <c:pt idx="45">
                  <c:v>1.2448192315688462</c:v>
                </c:pt>
                <c:pt idx="46">
                  <c:v>1.2290082549641275</c:v>
                </c:pt>
                <c:pt idx="47">
                  <c:v>1.2140821359472302</c:v>
                </c:pt>
                <c:pt idx="48">
                  <c:v>1.1999759157569081</c:v>
                </c:pt>
                <c:pt idx="49">
                  <c:v>1.1866304201843734</c:v>
                </c:pt>
                <c:pt idx="50">
                  <c:v>1.1739916442199716</c:v>
                </c:pt>
                <c:pt idx="51">
                  <c:v>1.162010210374208</c:v>
                </c:pt>
                <c:pt idx="52">
                  <c:v>1.1506408911115757</c:v>
                </c:pt>
                <c:pt idx="53">
                  <c:v>1.1398421871209603</c:v>
                </c:pt>
                <c:pt idx="54">
                  <c:v>1.1295759542652177</c:v>
                </c:pt>
                <c:pt idx="55">
                  <c:v>1.1198070730218204</c:v>
                </c:pt>
                <c:pt idx="56">
                  <c:v>1.1105031550635092</c:v>
                </c:pt>
                <c:pt idx="57">
                  <c:v>1.1016342823492711</c:v>
                </c:pt>
                <c:pt idx="58">
                  <c:v>1.0931727747168283</c:v>
                </c:pt>
                <c:pt idx="59">
                  <c:v>1.0850929825019997</c:v>
                </c:pt>
                <c:pt idx="60">
                  <c:v>1.0773711011696676</c:v>
                </c:pt>
                <c:pt idx="61">
                  <c:v>1.0699850053364279</c:v>
                </c:pt>
                <c:pt idx="62">
                  <c:v>1.0629140999052911</c:v>
                </c:pt>
                <c:pt idx="63">
                  <c:v>1.0561391863260514</c:v>
                </c:pt>
                <c:pt idx="64">
                  <c:v>1.0496423422478647</c:v>
                </c:pt>
                <c:pt idx="65">
                  <c:v>1.0434068130489551</c:v>
                </c:pt>
                <c:pt idx="66">
                  <c:v>1.0374169139172296</c:v>
                </c:pt>
                <c:pt idx="67">
                  <c:v>1.0316579413190343</c:v>
                </c:pt>
                <c:pt idx="68">
                  <c:v>1.0261160928350541</c:v>
                </c:pt>
                <c:pt idx="69">
                  <c:v>1.0207783944654236</c:v>
                </c:pt>
                <c:pt idx="70">
                  <c:v>1.0156326346131419</c:v>
                </c:pt>
                <c:pt idx="71">
                  <c:v>1.0106673040481131</c:v>
                </c:pt>
                <c:pt idx="72">
                  <c:v>1.0058715412354344</c:v>
                </c:pt>
                <c:pt idx="73">
                  <c:v>1.0012350824826017</c:v>
                </c:pt>
                <c:pt idx="74">
                  <c:v>0.99674821642246825</c:v>
                </c:pt>
                <c:pt idx="75">
                  <c:v>0.99240174240326773</c:v>
                </c:pt>
                <c:pt idx="76">
                  <c:v>0.98818693240485744</c:v>
                </c:pt>
                <c:pt idx="77">
                  <c:v>0.98409549614236147</c:v>
                </c:pt>
                <c:pt idx="78">
                  <c:v>0.98011954905544607</c:v>
                </c:pt>
                <c:pt idx="79">
                  <c:v>0.97625158291409342</c:v>
                </c:pt>
                <c:pt idx="80">
                  <c:v>0.9724844388005992</c:v>
                </c:pt>
                <c:pt idx="81">
                  <c:v>0.96881128225302449</c:v>
                </c:pt>
                <c:pt idx="82">
                  <c:v>0.96522558037794903</c:v>
                </c:pt>
                <c:pt idx="83">
                  <c:v>0.96172108076041884</c:v>
                </c:pt>
                <c:pt idx="84">
                  <c:v>0.95829179201681314</c:v>
                </c:pt>
                <c:pt idx="85">
                  <c:v>0.95493196585221074</c:v>
                </c:pt>
                <c:pt idx="86">
                  <c:v>0.95163608049796455</c:v>
                </c:pt>
                <c:pt idx="87">
                  <c:v>0.94839882541780374</c:v>
                </c:pt>
                <c:pt idx="88">
                  <c:v>0.9452150871820485</c:v>
                </c:pt>
                <c:pt idx="89">
                  <c:v>0.94207993641958609</c:v>
                </c:pt>
                <c:pt idx="90">
                  <c:v>0.93898861576630321</c:v>
                </c:pt>
                <c:pt idx="91">
                  <c:v>0.9359365287367255</c:v>
                </c:pt>
                <c:pt idx="92">
                  <c:v>0.93291922945289929</c:v>
                </c:pt>
                <c:pt idx="93">
                  <c:v>0.92993241317105402</c:v>
                </c:pt>
                <c:pt idx="94">
                  <c:v>0.92697190755243875</c:v>
                </c:pt>
                <c:pt idx="95">
                  <c:v>0.92403366462999514</c:v>
                </c:pt>
                <c:pt idx="96">
                  <c:v>0.92111375342725343</c:v>
                </c:pt>
                <c:pt idx="97">
                  <c:v>0.91820835319010674</c:v>
                </c:pt>
                <c:pt idx="98">
                  <c:v>0.91531374719591008</c:v>
                </c:pt>
                <c:pt idx="99">
                  <c:v>0.91242631710782685</c:v>
                </c:pt>
                <c:pt idx="100">
                  <c:v>0.90954253784537642</c:v>
                </c:pt>
                <c:pt idx="101">
                  <c:v>0.9066589729449186</c:v>
                </c:pt>
                <c:pt idx="102">
                  <c:v>0.90377227038624908</c:v>
                </c:pt>
                <c:pt idx="103">
                  <c:v>0.90087915886367165</c:v>
                </c:pt>
                <c:pt idx="104">
                  <c:v>0.89797644448183644</c:v>
                </c:pt>
                <c:pt idx="105">
                  <c:v>0.89506100785833198</c:v>
                </c:pt>
                <c:pt idx="106">
                  <c:v>0.89212980161649535</c:v>
                </c:pt>
                <c:pt idx="107">
                  <c:v>0.88917984825318686</c:v>
                </c:pt>
                <c:pt idx="108">
                  <c:v>0.88620823836734375</c:v>
                </c:pt>
                <c:pt idx="109">
                  <c:v>0.88321212923604842</c:v>
                </c:pt>
                <c:pt idx="110">
                  <c:v>0.88018874372556954</c:v>
                </c:pt>
                <c:pt idx="111">
                  <c:v>0.87713536952540638</c:v>
                </c:pt>
                <c:pt idx="112">
                  <c:v>0.8740493586937873</c:v>
                </c:pt>
                <c:pt idx="113">
                  <c:v>0.87092812750334991</c:v>
                </c:pt>
                <c:pt idx="114">
                  <c:v>0.86776915657585485</c:v>
                </c:pt>
                <c:pt idx="115">
                  <c:v>0.86456999129479939</c:v>
                </c:pt>
                <c:pt idx="116">
                  <c:v>0.86132824248466411</c:v>
                </c:pt>
                <c:pt idx="117">
                  <c:v>0.85804158734530056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1A-4E3F-AB41-1E62CB78DCEC}"/>
            </c:ext>
          </c:extLst>
        </c:ser>
        <c:ser>
          <c:idx val="3"/>
          <c:order val="3"/>
          <c:tx>
            <c:strRef>
              <c:f>GainCurve!$F$7</c:f>
              <c:strCache>
                <c:ptCount val="1"/>
                <c:pt idx="0">
                  <c:v>40% load</c:v>
                </c:pt>
              </c:strCache>
            </c:strRef>
          </c:tx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GainCurve!$F$8:$F$125</c:f>
              <c:numCache>
                <c:formatCode>0.00</c:formatCode>
                <c:ptCount val="118"/>
                <c:pt idx="0">
                  <c:v>1.8108238918363144</c:v>
                </c:pt>
                <c:pt idx="1">
                  <c:v>2.0006985003880757</c:v>
                </c:pt>
                <c:pt idx="2">
                  <c:v>2.2201216983404186</c:v>
                </c:pt>
                <c:pt idx="3">
                  <c:v>2.4738499396988392</c:v>
                </c:pt>
                <c:pt idx="4">
                  <c:v>2.7660831829244312</c:v>
                </c:pt>
                <c:pt idx="5">
                  <c:v>3.0986124282219718</c:v>
                </c:pt>
                <c:pt idx="6">
                  <c:v>3.4671887063993312</c:v>
                </c:pt>
                <c:pt idx="7">
                  <c:v>3.8555988865045316</c:v>
                </c:pt>
                <c:pt idx="8">
                  <c:v>4.2289051599807754</c:v>
                </c:pt>
                <c:pt idx="9">
                  <c:v>4.5323321240629655</c:v>
                </c:pt>
                <c:pt idx="10">
                  <c:v>4.7062802225569245</c:v>
                </c:pt>
                <c:pt idx="11">
                  <c:v>4.7170376598000638</c:v>
                </c:pt>
                <c:pt idx="12">
                  <c:v>4.5778856500657952</c:v>
                </c:pt>
                <c:pt idx="13">
                  <c:v>4.3375234468598718</c:v>
                </c:pt>
                <c:pt idx="14">
                  <c:v>4.0503446255819009</c:v>
                </c:pt>
                <c:pt idx="15">
                  <c:v>3.7565751615321981</c:v>
                </c:pt>
                <c:pt idx="16">
                  <c:v>3.4788922097773121</c:v>
                </c:pt>
                <c:pt idx="17">
                  <c:v>3.2270884907203237</c:v>
                </c:pt>
                <c:pt idx="18">
                  <c:v>3.0035309678059132</c:v>
                </c:pt>
                <c:pt idx="19">
                  <c:v>2.8069684822060577</c:v>
                </c:pt>
                <c:pt idx="20">
                  <c:v>2.6346948611195207</c:v>
                </c:pt>
                <c:pt idx="21">
                  <c:v>2.4836374589095791</c:v>
                </c:pt>
                <c:pt idx="22">
                  <c:v>2.35084941918924</c:v>
                </c:pt>
                <c:pt idx="23">
                  <c:v>2.2336993918141221</c:v>
                </c:pt>
                <c:pt idx="24">
                  <c:v>2.1299179166003777</c:v>
                </c:pt>
                <c:pt idx="25">
                  <c:v>2.0375812604605965</c:v>
                </c:pt>
                <c:pt idx="26">
                  <c:v>1.9550718466101915</c:v>
                </c:pt>
                <c:pt idx="27">
                  <c:v>1.8810333392482683</c:v>
                </c:pt>
                <c:pt idx="28">
                  <c:v>1.8143281147624928</c:v>
                </c:pt>
                <c:pt idx="29">
                  <c:v>1.75399993560505</c:v>
                </c:pt>
                <c:pt idx="30">
                  <c:v>1.6992424019517538</c:v>
                </c:pt>
                <c:pt idx="31">
                  <c:v>1.6493728102382743</c:v>
                </c:pt>
                <c:pt idx="32">
                  <c:v>1.6038107134131299</c:v>
                </c:pt>
                <c:pt idx="33">
                  <c:v>1.5620604205311084</c:v>
                </c:pt>
                <c:pt idx="34">
                  <c:v>1.5236967315261125</c:v>
                </c:pt>
                <c:pt idx="35">
                  <c:v>1.4883533005012024</c:v>
                </c:pt>
                <c:pt idx="36">
                  <c:v>1.4557131233605018</c:v>
                </c:pt>
                <c:pt idx="37">
                  <c:v>1.4255007390013046</c:v>
                </c:pt>
                <c:pt idx="38">
                  <c:v>1.3974758130162088</c:v>
                </c:pt>
                <c:pt idx="39">
                  <c:v>1.371427838614327</c:v>
                </c:pt>
                <c:pt idx="40">
                  <c:v>1.3471717426659033</c:v>
                </c:pt>
                <c:pt idx="41">
                  <c:v>1.3245442273380983</c:v>
                </c:pt>
                <c:pt idx="42">
                  <c:v>1.3034007116469777</c:v>
                </c:pt>
                <c:pt idx="43">
                  <c:v>1.2836127641112851</c:v>
                </c:pt>
                <c:pt idx="44">
                  <c:v>1.2650659389917129</c:v>
                </c:pt>
                <c:pt idx="45">
                  <c:v>1.2476579455017778</c:v>
                </c:pt>
                <c:pt idx="46">
                  <c:v>1.2312970928150246</c:v>
                </c:pt>
                <c:pt idx="47">
                  <c:v>1.2159009644047307</c:v>
                </c:pt>
                <c:pt idx="48">
                  <c:v>1.2013952838151623</c:v>
                </c:pt>
                <c:pt idx="49">
                  <c:v>1.1877129408310718</c:v>
                </c:pt>
                <c:pt idx="50">
                  <c:v>1.1747931525391271</c:v>
                </c:pt>
                <c:pt idx="51">
                  <c:v>1.162580738238854</c:v>
                </c:pt>
                <c:pt idx="52">
                  <c:v>1.1510254907791344</c:v>
                </c:pt>
                <c:pt idx="53">
                  <c:v>1.1400816298400354</c:v>
                </c:pt>
                <c:pt idx="54">
                  <c:v>1.1297073250833565</c:v>
                </c:pt>
                <c:pt idx="55">
                  <c:v>1.1198642790649307</c:v>
                </c:pt>
                <c:pt idx="56">
                  <c:v>1.1105173614214727</c:v>
                </c:pt>
                <c:pt idx="57">
                  <c:v>1.1016342871814779</c:v>
                </c:pt>
                <c:pt idx="58">
                  <c:v>1.0931853331565236</c:v>
                </c:pt>
                <c:pt idx="59">
                  <c:v>1.0851430872890064</c:v>
                </c:pt>
                <c:pt idx="60">
                  <c:v>1.0774822265988837</c:v>
                </c:pt>
                <c:pt idx="61">
                  <c:v>1.0701793200130476</c:v>
                </c:pt>
                <c:pt idx="62">
                  <c:v>1.0632126528986607</c:v>
                </c:pt>
                <c:pt idx="63">
                  <c:v>1.0565620705741829</c:v>
                </c:pt>
                <c:pt idx="64">
                  <c:v>1.0502088384536115</c:v>
                </c:pt>
                <c:pt idx="65">
                  <c:v>1.0441355168025017</c:v>
                </c:pt>
                <c:pt idx="66">
                  <c:v>1.0383258483585276</c:v>
                </c:pt>
                <c:pt idx="67">
                  <c:v>1.0327646573026332</c:v>
                </c:pt>
                <c:pt idx="68">
                  <c:v>1.0274377582658647</c:v>
                </c:pt>
                <c:pt idx="69">
                  <c:v>1.0223318742272454</c:v>
                </c:pt>
                <c:pt idx="70">
                  <c:v>1.0174345623040213</c:v>
                </c:pt>
                <c:pt idx="71">
                  <c:v>1.0127341465611353</c:v>
                </c:pt>
                <c:pt idx="72">
                  <c:v>1.0082196570748756</c:v>
                </c:pt>
                <c:pt idx="73">
                  <c:v>1.0038807745790468</c:v>
                </c:pt>
                <c:pt idx="74">
                  <c:v>0.99970778010281958</c:v>
                </c:pt>
                <c:pt idx="75">
                  <c:v>0.99569150907951398</c:v>
                </c:pt>
                <c:pt idx="76">
                  <c:v>0.99182330946652097</c:v>
                </c:pt>
                <c:pt idx="77">
                  <c:v>0.98809500346963075</c:v>
                </c:pt>
                <c:pt idx="78">
                  <c:v>0.98449885251137947</c:v>
                </c:pt>
                <c:pt idx="79">
                  <c:v>0.9810275251235212</c:v>
                </c:pt>
                <c:pt idx="80">
                  <c:v>0.97767406747925412</c:v>
                </c:pt>
                <c:pt idx="81">
                  <c:v>0.9744318763119757</c:v>
                </c:pt>
                <c:pt idx="82">
                  <c:v>0.97129467399476443</c:v>
                </c:pt>
                <c:pt idx="83">
                  <c:v>0.96825648557891941</c:v>
                </c:pt>
                <c:pt idx="84">
                  <c:v>0.96531161761121842</c:v>
                </c:pt>
                <c:pt idx="85">
                  <c:v>0.96245463856839564</c:v>
                </c:pt>
                <c:pt idx="86">
                  <c:v>0.95968036076402774</c:v>
                </c:pt>
                <c:pt idx="87">
                  <c:v>0.95698382359783374</c:v>
                </c:pt>
                <c:pt idx="88">
                  <c:v>0.95436027803055234</c:v>
                </c:pt>
                <c:pt idx="89">
                  <c:v>0.95180517217926763</c:v>
                </c:pt>
                <c:pt idx="90">
                  <c:v>0.9493141379385166</c:v>
                </c:pt>
                <c:pt idx="91">
                  <c:v>0.94688297854181913</c:v>
                </c:pt>
                <c:pt idx="92">
                  <c:v>0.94450765698662742</c:v>
                </c:pt>
                <c:pt idx="93">
                  <c:v>0.94218428525316822</c:v>
                </c:pt>
                <c:pt idx="94">
                  <c:v>0.93990911425434953</c:v>
                </c:pt>
                <c:pt idx="95">
                  <c:v>0.9376785244599426</c:v>
                </c:pt>
                <c:pt idx="96">
                  <c:v>0.93548901714367172</c:v>
                </c:pt>
                <c:pt idx="97">
                  <c:v>0.93333720620674721</c:v>
                </c:pt>
                <c:pt idx="98">
                  <c:v>0.93121981053577707</c:v>
                </c:pt>
                <c:pt idx="99">
                  <c:v>0.92913364685702116</c:v>
                </c:pt>
                <c:pt idx="100">
                  <c:v>0.92707562305254854</c:v>
                </c:pt>
                <c:pt idx="101">
                  <c:v>0.9250427319071558</c:v>
                </c:pt>
                <c:pt idx="102">
                  <c:v>0.92303204525789528</c:v>
                </c:pt>
                <c:pt idx="103">
                  <c:v>0.9210407085207748</c:v>
                </c:pt>
                <c:pt idx="104">
                  <c:v>0.91906593557167471</c:v>
                </c:pt>
                <c:pt idx="105">
                  <c:v>0.91710500396078753</c:v>
                </c:pt>
                <c:pt idx="106">
                  <c:v>0.91515525044195745</c:v>
                </c:pt>
                <c:pt idx="107">
                  <c:v>0.91321406680019024</c:v>
                </c:pt>
                <c:pt idx="108">
                  <c:v>0.91127889596233502</c:v>
                </c:pt>
                <c:pt idx="109">
                  <c:v>0.90934722837753801</c:v>
                </c:pt>
                <c:pt idx="110">
                  <c:v>0.90741659865552016</c:v>
                </c:pt>
                <c:pt idx="111">
                  <c:v>0.90548458245207919</c:v>
                </c:pt>
                <c:pt idx="112">
                  <c:v>0.90354879359243956</c:v>
                </c:pt>
                <c:pt idx="113">
                  <c:v>0.90160688142421275</c:v>
                </c:pt>
                <c:pt idx="114">
                  <c:v>0.89965652839275612</c:v>
                </c:pt>
                <c:pt idx="115">
                  <c:v>0.89769544783267363</c:v>
                </c:pt>
                <c:pt idx="116">
                  <c:v>0.89572138197006501</c:v>
                </c:pt>
                <c:pt idx="117">
                  <c:v>0.89373210013092041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1A-4E3F-AB41-1E62CB78DCEC}"/>
            </c:ext>
          </c:extLst>
        </c:ser>
        <c:ser>
          <c:idx val="4"/>
          <c:order val="4"/>
          <c:tx>
            <c:strRef>
              <c:f>GainCurve!$G$7</c:f>
              <c:strCache>
                <c:ptCount val="1"/>
                <c:pt idx="0">
                  <c:v>20% load</c:v>
                </c:pt>
              </c:strCache>
            </c:strRef>
          </c:tx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GainCurve!$G$8:$G$125</c:f>
              <c:numCache>
                <c:formatCode>0.00</c:formatCode>
                <c:ptCount val="118"/>
                <c:pt idx="0">
                  <c:v>2.0024761917072862</c:v>
                </c:pt>
                <c:pt idx="1">
                  <c:v>2.254094486671486</c:v>
                </c:pt>
                <c:pt idx="2">
                  <c:v>2.5620358414605304</c:v>
                </c:pt>
                <c:pt idx="3">
                  <c:v>2.9457195074090476</c:v>
                </c:pt>
                <c:pt idx="4">
                  <c:v>3.4333423790739723</c:v>
                </c:pt>
                <c:pt idx="5">
                  <c:v>4.0658458483842166</c:v>
                </c:pt>
                <c:pt idx="6">
                  <c:v>4.9000864069235686</c:v>
                </c:pt>
                <c:pt idx="7">
                  <c:v>6.0004098085103772</c:v>
                </c:pt>
                <c:pt idx="8">
                  <c:v>7.3748723706765711</c:v>
                </c:pt>
                <c:pt idx="9">
                  <c:v>8.7573784198607054</c:v>
                </c:pt>
                <c:pt idx="10">
                  <c:v>9.3971339544552759</c:v>
                </c:pt>
                <c:pt idx="11">
                  <c:v>8.8162262732818419</c:v>
                </c:pt>
                <c:pt idx="12">
                  <c:v>7.5986558716462804</c:v>
                </c:pt>
                <c:pt idx="13">
                  <c:v>6.405980078442381</c:v>
                </c:pt>
                <c:pt idx="14">
                  <c:v>5.4453901091888151</c:v>
                </c:pt>
                <c:pt idx="15">
                  <c:v>4.7077137885180722</c:v>
                </c:pt>
                <c:pt idx="16">
                  <c:v>4.1409907903161054</c:v>
                </c:pt>
                <c:pt idx="17">
                  <c:v>3.6989255946775561</c:v>
                </c:pt>
                <c:pt idx="18">
                  <c:v>3.3476048052962599</c:v>
                </c:pt>
                <c:pt idx="19">
                  <c:v>3.0632668127821483</c:v>
                </c:pt>
                <c:pt idx="20">
                  <c:v>2.8292924743465</c:v>
                </c:pt>
                <c:pt idx="21">
                  <c:v>2.633909090723856</c:v>
                </c:pt>
                <c:pt idx="22">
                  <c:v>2.4686297178160874</c:v>
                </c:pt>
                <c:pt idx="23">
                  <c:v>2.3272218859436009</c:v>
                </c:pt>
                <c:pt idx="24">
                  <c:v>2.2050258427459606</c:v>
                </c:pt>
                <c:pt idx="25">
                  <c:v>2.0984986563020338</c:v>
                </c:pt>
                <c:pt idx="26">
                  <c:v>2.0049045217906096</c:v>
                </c:pt>
                <c:pt idx="27">
                  <c:v>1.9221007703035988</c:v>
                </c:pt>
                <c:pt idx="28">
                  <c:v>1.8483874688323194</c:v>
                </c:pt>
                <c:pt idx="29">
                  <c:v>1.7823999692648997</c:v>
                </c:pt>
                <c:pt idx="30">
                  <c:v>1.7230309448472818</c:v>
                </c:pt>
                <c:pt idx="31">
                  <c:v>1.6693729970663673</c:v>
                </c:pt>
                <c:pt idx="32">
                  <c:v>1.6206758320832542</c:v>
                </c:pt>
                <c:pt idx="33">
                  <c:v>1.5763139054111903</c:v>
                </c:pt>
                <c:pt idx="34">
                  <c:v>1.5357616898920721</c:v>
                </c:pt>
                <c:pt idx="35">
                  <c:v>1.4985745655079519</c:v>
                </c:pt>
                <c:pt idx="36">
                  <c:v>1.464373904097154</c:v>
                </c:pt>
                <c:pt idx="37">
                  <c:v>1.4328353188248097</c:v>
                </c:pt>
                <c:pt idx="38">
                  <c:v>1.4036793258952616</c:v>
                </c:pt>
                <c:pt idx="39">
                  <c:v>1.3766638626889536</c:v>
                </c:pt>
                <c:pt idx="40">
                  <c:v>1.3515782474993028</c:v>
                </c:pt>
                <c:pt idx="41">
                  <c:v>1.3282382682333234</c:v>
                </c:pt>
                <c:pt idx="42">
                  <c:v>1.3064821622798937</c:v>
                </c:pt>
                <c:pt idx="43">
                  <c:v>1.2861673051025841</c:v>
                </c:pt>
                <c:pt idx="44">
                  <c:v>1.2671674664361583</c:v>
                </c:pt>
                <c:pt idx="45">
                  <c:v>1.2493705240857271</c:v>
                </c:pt>
                <c:pt idx="46">
                  <c:v>1.2326765489593146</c:v>
                </c:pt>
                <c:pt idx="47">
                  <c:v>1.216996193051727</c:v>
                </c:pt>
                <c:pt idx="48">
                  <c:v>1.2022493260443319</c:v>
                </c:pt>
                <c:pt idx="49">
                  <c:v>1.1883638770157712</c:v>
                </c:pt>
                <c:pt idx="50">
                  <c:v>1.1752748462255982</c:v>
                </c:pt>
                <c:pt idx="51">
                  <c:v>1.1629234585943655</c:v>
                </c:pt>
                <c:pt idx="52">
                  <c:v>1.1512564357767308</c:v>
                </c:pt>
                <c:pt idx="53">
                  <c:v>1.1402253679221988</c:v>
                </c:pt>
                <c:pt idx="54">
                  <c:v>1.1297861695787754</c:v>
                </c:pt>
                <c:pt idx="55">
                  <c:v>1.1198986068993488</c:v>
                </c:pt>
                <c:pt idx="56">
                  <c:v>1.1105258854979581</c:v>
                </c:pt>
                <c:pt idx="57">
                  <c:v>1.1016342900808023</c:v>
                </c:pt>
                <c:pt idx="58">
                  <c:v>1.0931928684280958</c:v>
                </c:pt>
                <c:pt idx="59">
                  <c:v>1.0851731534930242</c:v>
                </c:pt>
                <c:pt idx="60">
                  <c:v>1.0775489183640081</c:v>
                </c:pt>
                <c:pt idx="61">
                  <c:v>1.0702959596468042</c:v>
                </c:pt>
                <c:pt idx="62">
                  <c:v>1.0633919054954968</c:v>
                </c:pt>
                <c:pt idx="63">
                  <c:v>1.0568160450817417</c:v>
                </c:pt>
                <c:pt idx="64">
                  <c:v>1.050549176760122</c:v>
                </c:pt>
                <c:pt idx="65">
                  <c:v>1.044573472580506</c:v>
                </c:pt>
                <c:pt idx="66">
                  <c:v>1.0388723571291711</c:v>
                </c:pt>
                <c:pt idx="67">
                  <c:v>1.0334303989598679</c:v>
                </c:pt>
                <c:pt idx="68">
                  <c:v>1.0282332131126566</c:v>
                </c:pt>
                <c:pt idx="69">
                  <c:v>1.0232673734194655</c:v>
                </c:pt>
                <c:pt idx="70">
                  <c:v>1.0185203334666126</c:v>
                </c:pt>
                <c:pt idx="71">
                  <c:v>1.0139803552309583</c:v>
                </c:pt>
                <c:pt idx="72">
                  <c:v>1.0096364445317361</c:v>
                </c:pt>
                <c:pt idx="73">
                  <c:v>1.0054782925478438</c:v>
                </c:pt>
                <c:pt idx="74">
                  <c:v>1.0014962227431172</c:v>
                </c:pt>
                <c:pt idx="75">
                  <c:v>0.99768114262217711</c:v>
                </c:pt>
                <c:pt idx="76">
                  <c:v>0.99402449980870078</c:v>
                </c:pt>
                <c:pt idx="77">
                  <c:v>0.99051824199803651</c:v>
                </c:pt>
                <c:pt idx="78">
                  <c:v>0.98715478038828153</c:v>
                </c:pt>
                <c:pt idx="79">
                  <c:v>0.98392695623940196</c:v>
                </c:pt>
                <c:pt idx="80">
                  <c:v>0.98082801024965582</c:v>
                </c:pt>
                <c:pt idx="81">
                  <c:v>0.97785155447327587</c:v>
                </c:pt>
                <c:pt idx="82">
                  <c:v>0.97499154653377129</c:v>
                </c:pt>
                <c:pt idx="83">
                  <c:v>0.97224226591389273</c:v>
                </c:pt>
                <c:pt idx="84">
                  <c:v>0.96959829212678417</c:v>
                </c:pt>
                <c:pt idx="85">
                  <c:v>0.96705448459352339</c:v>
                </c:pt>
                <c:pt idx="86">
                  <c:v>0.96460596407050325</c:v>
                </c:pt>
                <c:pt idx="87">
                  <c:v>0.96224809548625001</c:v>
                </c:pt>
                <c:pt idx="88">
                  <c:v>0.95997647206156389</c:v>
                </c:pt>
                <c:pt idx="89">
                  <c:v>0.95778690059953508</c:v>
                </c:pt>
                <c:pt idx="90">
                  <c:v>0.95567538784327488</c:v>
                </c:pt>
                <c:pt idx="91">
                  <c:v>0.95363812780918822</c:v>
                </c:pt>
                <c:pt idx="92">
                  <c:v>0.95167149001257312</c:v>
                </c:pt>
                <c:pt idx="93">
                  <c:v>0.94977200851028565</c:v>
                </c:pt>
                <c:pt idx="94">
                  <c:v>0.94793637169233269</c:v>
                </c:pt>
                <c:pt idx="95">
                  <c:v>0.94616141276063548</c:v>
                </c:pt>
                <c:pt idx="96">
                  <c:v>0.94444410083890518</c:v>
                </c:pt>
                <c:pt idx="97">
                  <c:v>0.94278153266272158</c:v>
                </c:pt>
                <c:pt idx="98">
                  <c:v>0.9411709248034732</c:v>
                </c:pt>
                <c:pt idx="99">
                  <c:v>0.93960960638401181</c:v>
                </c:pt>
                <c:pt idx="100">
                  <c:v>0.93809501224756464</c:v>
                </c:pt>
                <c:pt idx="101">
                  <c:v>0.93662467654484027</c:v>
                </c:pt>
                <c:pt idx="102">
                  <c:v>0.93519622670730185</c:v>
                </c:pt>
                <c:pt idx="103">
                  <c:v>0.93380737777732925</c:v>
                </c:pt>
                <c:pt idx="104">
                  <c:v>0.93245592706849201</c:v>
                </c:pt>
                <c:pt idx="105">
                  <c:v>0.93113974913140796</c:v>
                </c:pt>
                <c:pt idx="106">
                  <c:v>0.92985679100271323</c:v>
                </c:pt>
                <c:pt idx="107">
                  <c:v>0.92860506771654761</c:v>
                </c:pt>
                <c:pt idx="108">
                  <c:v>0.9273826580596366</c:v>
                </c:pt>
                <c:pt idx="109">
                  <c:v>0.92618770055261934</c:v>
                </c:pt>
                <c:pt idx="110">
                  <c:v>0.92501838964167193</c:v>
                </c:pt>
                <c:pt idx="111">
                  <c:v>0.92387297208577179</c:v>
                </c:pt>
                <c:pt idx="112">
                  <c:v>0.92274974352613048</c:v>
                </c:pt>
                <c:pt idx="113">
                  <c:v>0.92164704522540863</c:v>
                </c:pt>
                <c:pt idx="114">
                  <c:v>0.92056326096531771</c:v>
                </c:pt>
                <c:pt idx="115">
                  <c:v>0.91949681409213513</c:v>
                </c:pt>
                <c:pt idx="116">
                  <c:v>0.91844616470049645</c:v>
                </c:pt>
                <c:pt idx="117">
                  <c:v>0.91740980694661578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1A-4E3F-AB41-1E62CB78DCEC}"/>
            </c:ext>
          </c:extLst>
        </c:ser>
        <c:ser>
          <c:idx val="5"/>
          <c:order val="5"/>
          <c:tx>
            <c:v>Min.Gain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GainCurve!$H$8:$H$125</c:f>
              <c:numCache>
                <c:formatCode>General</c:formatCode>
                <c:ptCount val="118"/>
                <c:pt idx="0">
                  <c:v>1.131</c:v>
                </c:pt>
                <c:pt idx="1">
                  <c:v>1.131</c:v>
                </c:pt>
                <c:pt idx="2">
                  <c:v>1.131</c:v>
                </c:pt>
                <c:pt idx="3">
                  <c:v>1.131</c:v>
                </c:pt>
                <c:pt idx="4">
                  <c:v>1.131</c:v>
                </c:pt>
                <c:pt idx="5">
                  <c:v>1.131</c:v>
                </c:pt>
                <c:pt idx="6">
                  <c:v>1.131</c:v>
                </c:pt>
                <c:pt idx="7">
                  <c:v>1.131</c:v>
                </c:pt>
                <c:pt idx="8">
                  <c:v>1.131</c:v>
                </c:pt>
                <c:pt idx="9">
                  <c:v>1.131</c:v>
                </c:pt>
                <c:pt idx="10">
                  <c:v>1.131</c:v>
                </c:pt>
                <c:pt idx="11">
                  <c:v>1.131</c:v>
                </c:pt>
                <c:pt idx="12">
                  <c:v>1.131</c:v>
                </c:pt>
                <c:pt idx="13">
                  <c:v>1.131</c:v>
                </c:pt>
                <c:pt idx="14">
                  <c:v>1.131</c:v>
                </c:pt>
                <c:pt idx="15">
                  <c:v>1.131</c:v>
                </c:pt>
                <c:pt idx="16">
                  <c:v>1.131</c:v>
                </c:pt>
                <c:pt idx="17">
                  <c:v>1.131</c:v>
                </c:pt>
                <c:pt idx="18">
                  <c:v>1.131</c:v>
                </c:pt>
                <c:pt idx="19">
                  <c:v>1.131</c:v>
                </c:pt>
                <c:pt idx="20">
                  <c:v>1.131</c:v>
                </c:pt>
                <c:pt idx="21">
                  <c:v>1.131</c:v>
                </c:pt>
                <c:pt idx="22">
                  <c:v>1.131</c:v>
                </c:pt>
                <c:pt idx="23">
                  <c:v>1.131</c:v>
                </c:pt>
                <c:pt idx="24">
                  <c:v>1.131</c:v>
                </c:pt>
                <c:pt idx="25">
                  <c:v>1.131</c:v>
                </c:pt>
                <c:pt idx="26">
                  <c:v>1.131</c:v>
                </c:pt>
                <c:pt idx="27">
                  <c:v>1.131</c:v>
                </c:pt>
                <c:pt idx="28">
                  <c:v>1.131</c:v>
                </c:pt>
                <c:pt idx="29">
                  <c:v>1.131</c:v>
                </c:pt>
                <c:pt idx="30">
                  <c:v>1.131</c:v>
                </c:pt>
                <c:pt idx="31">
                  <c:v>1.131</c:v>
                </c:pt>
                <c:pt idx="32">
                  <c:v>1.131</c:v>
                </c:pt>
                <c:pt idx="33">
                  <c:v>1.131</c:v>
                </c:pt>
                <c:pt idx="34">
                  <c:v>1.131</c:v>
                </c:pt>
                <c:pt idx="35">
                  <c:v>1.131</c:v>
                </c:pt>
                <c:pt idx="36">
                  <c:v>1.131</c:v>
                </c:pt>
                <c:pt idx="37">
                  <c:v>1.131</c:v>
                </c:pt>
                <c:pt idx="38">
                  <c:v>1.131</c:v>
                </c:pt>
                <c:pt idx="39">
                  <c:v>1.131</c:v>
                </c:pt>
                <c:pt idx="40">
                  <c:v>1.131</c:v>
                </c:pt>
                <c:pt idx="41">
                  <c:v>1.131</c:v>
                </c:pt>
                <c:pt idx="42">
                  <c:v>1.131</c:v>
                </c:pt>
                <c:pt idx="43">
                  <c:v>1.131</c:v>
                </c:pt>
                <c:pt idx="44">
                  <c:v>1.131</c:v>
                </c:pt>
                <c:pt idx="45">
                  <c:v>1.131</c:v>
                </c:pt>
                <c:pt idx="46">
                  <c:v>1.131</c:v>
                </c:pt>
                <c:pt idx="47">
                  <c:v>1.131</c:v>
                </c:pt>
                <c:pt idx="48">
                  <c:v>1.131</c:v>
                </c:pt>
                <c:pt idx="49">
                  <c:v>1.131</c:v>
                </c:pt>
                <c:pt idx="50">
                  <c:v>1.131</c:v>
                </c:pt>
                <c:pt idx="51">
                  <c:v>1.131</c:v>
                </c:pt>
                <c:pt idx="52">
                  <c:v>1.131</c:v>
                </c:pt>
                <c:pt idx="53">
                  <c:v>1.131</c:v>
                </c:pt>
                <c:pt idx="54">
                  <c:v>1.131</c:v>
                </c:pt>
                <c:pt idx="55">
                  <c:v>1.131</c:v>
                </c:pt>
                <c:pt idx="56">
                  <c:v>1.131</c:v>
                </c:pt>
                <c:pt idx="57">
                  <c:v>1.131</c:v>
                </c:pt>
                <c:pt idx="58">
                  <c:v>1.131</c:v>
                </c:pt>
                <c:pt idx="59">
                  <c:v>1.131</c:v>
                </c:pt>
                <c:pt idx="60">
                  <c:v>1.131</c:v>
                </c:pt>
                <c:pt idx="61">
                  <c:v>1.131</c:v>
                </c:pt>
                <c:pt idx="62">
                  <c:v>1.131</c:v>
                </c:pt>
                <c:pt idx="63">
                  <c:v>1.131</c:v>
                </c:pt>
                <c:pt idx="64">
                  <c:v>1.131</c:v>
                </c:pt>
                <c:pt idx="65">
                  <c:v>1.131</c:v>
                </c:pt>
                <c:pt idx="66">
                  <c:v>1.131</c:v>
                </c:pt>
                <c:pt idx="67">
                  <c:v>1.131</c:v>
                </c:pt>
                <c:pt idx="68">
                  <c:v>1.131</c:v>
                </c:pt>
                <c:pt idx="69">
                  <c:v>1.131</c:v>
                </c:pt>
                <c:pt idx="70">
                  <c:v>1.131</c:v>
                </c:pt>
                <c:pt idx="71">
                  <c:v>1.131</c:v>
                </c:pt>
                <c:pt idx="72">
                  <c:v>1.131</c:v>
                </c:pt>
                <c:pt idx="73">
                  <c:v>1.131</c:v>
                </c:pt>
                <c:pt idx="74">
                  <c:v>1.131</c:v>
                </c:pt>
                <c:pt idx="75">
                  <c:v>1.131</c:v>
                </c:pt>
                <c:pt idx="76">
                  <c:v>1.131</c:v>
                </c:pt>
                <c:pt idx="77">
                  <c:v>1.131</c:v>
                </c:pt>
                <c:pt idx="78">
                  <c:v>1.131</c:v>
                </c:pt>
                <c:pt idx="79">
                  <c:v>1.131</c:v>
                </c:pt>
                <c:pt idx="80">
                  <c:v>1.131</c:v>
                </c:pt>
                <c:pt idx="81">
                  <c:v>1.131</c:v>
                </c:pt>
                <c:pt idx="82">
                  <c:v>1.131</c:v>
                </c:pt>
                <c:pt idx="83">
                  <c:v>1.131</c:v>
                </c:pt>
                <c:pt idx="84">
                  <c:v>1.131</c:v>
                </c:pt>
                <c:pt idx="85">
                  <c:v>1.131</c:v>
                </c:pt>
                <c:pt idx="86">
                  <c:v>1.131</c:v>
                </c:pt>
                <c:pt idx="87">
                  <c:v>1.131</c:v>
                </c:pt>
                <c:pt idx="88">
                  <c:v>1.131</c:v>
                </c:pt>
                <c:pt idx="89">
                  <c:v>1.131</c:v>
                </c:pt>
                <c:pt idx="90">
                  <c:v>1.131</c:v>
                </c:pt>
                <c:pt idx="91">
                  <c:v>1.131</c:v>
                </c:pt>
                <c:pt idx="92">
                  <c:v>1.131</c:v>
                </c:pt>
                <c:pt idx="93">
                  <c:v>1.131</c:v>
                </c:pt>
                <c:pt idx="94">
                  <c:v>1.131</c:v>
                </c:pt>
                <c:pt idx="95">
                  <c:v>1.131</c:v>
                </c:pt>
                <c:pt idx="96">
                  <c:v>1.131</c:v>
                </c:pt>
                <c:pt idx="97">
                  <c:v>1.131</c:v>
                </c:pt>
                <c:pt idx="98">
                  <c:v>1.131</c:v>
                </c:pt>
                <c:pt idx="99">
                  <c:v>1.131</c:v>
                </c:pt>
                <c:pt idx="100">
                  <c:v>1.131</c:v>
                </c:pt>
                <c:pt idx="101">
                  <c:v>1.131</c:v>
                </c:pt>
                <c:pt idx="102">
                  <c:v>1.131</c:v>
                </c:pt>
                <c:pt idx="103">
                  <c:v>1.131</c:v>
                </c:pt>
                <c:pt idx="104">
                  <c:v>1.131</c:v>
                </c:pt>
                <c:pt idx="105">
                  <c:v>1.131</c:v>
                </c:pt>
                <c:pt idx="106">
                  <c:v>1.131</c:v>
                </c:pt>
                <c:pt idx="107">
                  <c:v>1.131</c:v>
                </c:pt>
                <c:pt idx="108">
                  <c:v>1.131</c:v>
                </c:pt>
                <c:pt idx="109">
                  <c:v>1.131</c:v>
                </c:pt>
                <c:pt idx="110">
                  <c:v>1.131</c:v>
                </c:pt>
                <c:pt idx="111">
                  <c:v>1.131</c:v>
                </c:pt>
                <c:pt idx="112">
                  <c:v>1.131</c:v>
                </c:pt>
                <c:pt idx="113">
                  <c:v>1.131</c:v>
                </c:pt>
                <c:pt idx="114">
                  <c:v>1.131</c:v>
                </c:pt>
                <c:pt idx="115">
                  <c:v>1.131</c:v>
                </c:pt>
                <c:pt idx="116">
                  <c:v>1.131</c:v>
                </c:pt>
                <c:pt idx="117">
                  <c:v>1.131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91A-4E3F-AB41-1E62CB78DCEC}"/>
            </c:ext>
          </c:extLst>
        </c:ser>
        <c:ser>
          <c:idx val="6"/>
          <c:order val="6"/>
          <c:tx>
            <c:v>Max.gain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GainCurve!$A$8:$A$125</c:f>
              <c:numCache>
                <c:formatCode>#,##0.00</c:formatCode>
                <c:ptCount val="118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  <c:pt idx="103">
                  <c:v>222.61455731920915</c:v>
                </c:pt>
                <c:pt idx="104">
                  <c:v>226.75327094082601</c:v>
                </c:pt>
                <c:pt idx="105">
                  <c:v>230.9689289934272</c:v>
                </c:pt>
                <c:pt idx="106">
                  <c:v>235.26296198078776</c:v>
                </c:pt>
                <c:pt idx="107">
                  <c:v>239.63682700173354</c:v>
                </c:pt>
                <c:pt idx="108">
                  <c:v>244.09200824458003</c:v>
                </c:pt>
                <c:pt idx="109">
                  <c:v>248.63001749076372</c:v>
                </c:pt>
                <c:pt idx="110">
                  <c:v>253.25239462783637</c:v>
                </c:pt>
                <c:pt idx="111">
                  <c:v>257.96070817199683</c:v>
                </c:pt>
                <c:pt idx="112">
                  <c:v>262.7565558003372</c:v>
                </c:pt>
                <c:pt idx="113">
                  <c:v>267.64156489298449</c:v>
                </c:pt>
                <c:pt idx="114">
                  <c:v>272.61739308532105</c:v>
                </c:pt>
                <c:pt idx="115">
                  <c:v>277.68572883047199</c:v>
                </c:pt>
                <c:pt idx="116">
                  <c:v>282.84829197224957</c:v>
                </c:pt>
                <c:pt idx="117">
                  <c:v>288.10683432874981</c:v>
                </c:pt>
              </c:numCache>
            </c:numRef>
          </c:xVal>
          <c:yVal>
            <c:numRef>
              <c:f>GainCurve!$I$8:$I$125</c:f>
              <c:numCache>
                <c:formatCode>General</c:formatCode>
                <c:ptCount val="118"/>
                <c:pt idx="0">
                  <c:v>1.49292</c:v>
                </c:pt>
                <c:pt idx="1">
                  <c:v>1.49292</c:v>
                </c:pt>
                <c:pt idx="2">
                  <c:v>1.49292</c:v>
                </c:pt>
                <c:pt idx="3">
                  <c:v>1.49292</c:v>
                </c:pt>
                <c:pt idx="4">
                  <c:v>1.49292</c:v>
                </c:pt>
                <c:pt idx="5">
                  <c:v>1.49292</c:v>
                </c:pt>
                <c:pt idx="6">
                  <c:v>1.49292</c:v>
                </c:pt>
                <c:pt idx="7">
                  <c:v>1.49292</c:v>
                </c:pt>
                <c:pt idx="8">
                  <c:v>1.49292</c:v>
                </c:pt>
                <c:pt idx="9">
                  <c:v>1.49292</c:v>
                </c:pt>
                <c:pt idx="10">
                  <c:v>1.49292</c:v>
                </c:pt>
                <c:pt idx="11">
                  <c:v>1.49292</c:v>
                </c:pt>
                <c:pt idx="12">
                  <c:v>1.49292</c:v>
                </c:pt>
                <c:pt idx="13">
                  <c:v>1.49292</c:v>
                </c:pt>
                <c:pt idx="14">
                  <c:v>1.49292</c:v>
                </c:pt>
                <c:pt idx="15">
                  <c:v>1.49292</c:v>
                </c:pt>
                <c:pt idx="16">
                  <c:v>1.49292</c:v>
                </c:pt>
                <c:pt idx="17">
                  <c:v>1.49292</c:v>
                </c:pt>
                <c:pt idx="18">
                  <c:v>1.49292</c:v>
                </c:pt>
                <c:pt idx="19">
                  <c:v>1.49292</c:v>
                </c:pt>
                <c:pt idx="20">
                  <c:v>1.49292</c:v>
                </c:pt>
                <c:pt idx="21">
                  <c:v>1.49292</c:v>
                </c:pt>
                <c:pt idx="22">
                  <c:v>1.49292</c:v>
                </c:pt>
                <c:pt idx="23">
                  <c:v>1.49292</c:v>
                </c:pt>
                <c:pt idx="24">
                  <c:v>1.49292</c:v>
                </c:pt>
                <c:pt idx="25">
                  <c:v>1.49292</c:v>
                </c:pt>
                <c:pt idx="26">
                  <c:v>1.49292</c:v>
                </c:pt>
                <c:pt idx="27">
                  <c:v>1.49292</c:v>
                </c:pt>
                <c:pt idx="28">
                  <c:v>1.49292</c:v>
                </c:pt>
                <c:pt idx="29">
                  <c:v>1.49292</c:v>
                </c:pt>
                <c:pt idx="30">
                  <c:v>1.49292</c:v>
                </c:pt>
                <c:pt idx="31">
                  <c:v>1.49292</c:v>
                </c:pt>
                <c:pt idx="32">
                  <c:v>1.49292</c:v>
                </c:pt>
                <c:pt idx="33">
                  <c:v>1.49292</c:v>
                </c:pt>
                <c:pt idx="34">
                  <c:v>1.49292</c:v>
                </c:pt>
                <c:pt idx="35">
                  <c:v>1.49292</c:v>
                </c:pt>
                <c:pt idx="36">
                  <c:v>1.49292</c:v>
                </c:pt>
                <c:pt idx="37">
                  <c:v>1.49292</c:v>
                </c:pt>
                <c:pt idx="38">
                  <c:v>1.49292</c:v>
                </c:pt>
                <c:pt idx="39">
                  <c:v>1.49292</c:v>
                </c:pt>
                <c:pt idx="40">
                  <c:v>1.49292</c:v>
                </c:pt>
                <c:pt idx="41">
                  <c:v>1.49292</c:v>
                </c:pt>
                <c:pt idx="42">
                  <c:v>1.49292</c:v>
                </c:pt>
                <c:pt idx="43">
                  <c:v>1.49292</c:v>
                </c:pt>
                <c:pt idx="44">
                  <c:v>1.49292</c:v>
                </c:pt>
                <c:pt idx="45">
                  <c:v>1.49292</c:v>
                </c:pt>
                <c:pt idx="46">
                  <c:v>1.49292</c:v>
                </c:pt>
                <c:pt idx="47">
                  <c:v>1.49292</c:v>
                </c:pt>
                <c:pt idx="48">
                  <c:v>1.49292</c:v>
                </c:pt>
                <c:pt idx="49">
                  <c:v>1.49292</c:v>
                </c:pt>
                <c:pt idx="50">
                  <c:v>1.49292</c:v>
                </c:pt>
                <c:pt idx="51">
                  <c:v>1.49292</c:v>
                </c:pt>
                <c:pt idx="52">
                  <c:v>1.49292</c:v>
                </c:pt>
                <c:pt idx="53">
                  <c:v>1.49292</c:v>
                </c:pt>
                <c:pt idx="54">
                  <c:v>1.49292</c:v>
                </c:pt>
                <c:pt idx="55">
                  <c:v>1.49292</c:v>
                </c:pt>
                <c:pt idx="56">
                  <c:v>1.49292</c:v>
                </c:pt>
                <c:pt idx="57">
                  <c:v>1.49292</c:v>
                </c:pt>
                <c:pt idx="58">
                  <c:v>1.49292</c:v>
                </c:pt>
                <c:pt idx="59">
                  <c:v>1.49292</c:v>
                </c:pt>
                <c:pt idx="60">
                  <c:v>1.49292</c:v>
                </c:pt>
                <c:pt idx="61">
                  <c:v>1.49292</c:v>
                </c:pt>
                <c:pt idx="62">
                  <c:v>1.49292</c:v>
                </c:pt>
                <c:pt idx="63">
                  <c:v>1.49292</c:v>
                </c:pt>
                <c:pt idx="64">
                  <c:v>1.49292</c:v>
                </c:pt>
                <c:pt idx="65">
                  <c:v>1.49292</c:v>
                </c:pt>
                <c:pt idx="66">
                  <c:v>1.49292</c:v>
                </c:pt>
                <c:pt idx="67">
                  <c:v>1.49292</c:v>
                </c:pt>
                <c:pt idx="68">
                  <c:v>1.49292</c:v>
                </c:pt>
                <c:pt idx="69">
                  <c:v>1.49292</c:v>
                </c:pt>
                <c:pt idx="70">
                  <c:v>1.49292</c:v>
                </c:pt>
                <c:pt idx="71">
                  <c:v>1.49292</c:v>
                </c:pt>
                <c:pt idx="72">
                  <c:v>1.49292</c:v>
                </c:pt>
                <c:pt idx="73">
                  <c:v>1.49292</c:v>
                </c:pt>
                <c:pt idx="74">
                  <c:v>1.49292</c:v>
                </c:pt>
                <c:pt idx="75">
                  <c:v>1.49292</c:v>
                </c:pt>
                <c:pt idx="76">
                  <c:v>1.49292</c:v>
                </c:pt>
                <c:pt idx="77">
                  <c:v>1.49292</c:v>
                </c:pt>
                <c:pt idx="78">
                  <c:v>1.49292</c:v>
                </c:pt>
                <c:pt idx="79">
                  <c:v>1.49292</c:v>
                </c:pt>
                <c:pt idx="80">
                  <c:v>1.49292</c:v>
                </c:pt>
                <c:pt idx="81">
                  <c:v>1.49292</c:v>
                </c:pt>
                <c:pt idx="82">
                  <c:v>1.49292</c:v>
                </c:pt>
                <c:pt idx="83">
                  <c:v>1.49292</c:v>
                </c:pt>
                <c:pt idx="84">
                  <c:v>1.49292</c:v>
                </c:pt>
                <c:pt idx="85">
                  <c:v>1.49292</c:v>
                </c:pt>
                <c:pt idx="86">
                  <c:v>1.49292</c:v>
                </c:pt>
                <c:pt idx="87">
                  <c:v>1.49292</c:v>
                </c:pt>
                <c:pt idx="88">
                  <c:v>1.49292</c:v>
                </c:pt>
                <c:pt idx="89">
                  <c:v>1.49292</c:v>
                </c:pt>
                <c:pt idx="90">
                  <c:v>1.49292</c:v>
                </c:pt>
                <c:pt idx="91">
                  <c:v>1.49292</c:v>
                </c:pt>
                <c:pt idx="92">
                  <c:v>1.49292</c:v>
                </c:pt>
                <c:pt idx="93">
                  <c:v>1.49292</c:v>
                </c:pt>
                <c:pt idx="94">
                  <c:v>1.49292</c:v>
                </c:pt>
                <c:pt idx="95">
                  <c:v>1.49292</c:v>
                </c:pt>
                <c:pt idx="96">
                  <c:v>1.49292</c:v>
                </c:pt>
                <c:pt idx="97">
                  <c:v>1.49292</c:v>
                </c:pt>
                <c:pt idx="98">
                  <c:v>1.49292</c:v>
                </c:pt>
                <c:pt idx="99">
                  <c:v>1.49292</c:v>
                </c:pt>
                <c:pt idx="100">
                  <c:v>1.49292</c:v>
                </c:pt>
                <c:pt idx="101">
                  <c:v>1.49292</c:v>
                </c:pt>
                <c:pt idx="102">
                  <c:v>1.49292</c:v>
                </c:pt>
                <c:pt idx="103">
                  <c:v>1.49292</c:v>
                </c:pt>
                <c:pt idx="104">
                  <c:v>1.49292</c:v>
                </c:pt>
                <c:pt idx="105">
                  <c:v>1.49292</c:v>
                </c:pt>
                <c:pt idx="106">
                  <c:v>1.49292</c:v>
                </c:pt>
                <c:pt idx="107">
                  <c:v>1.49292</c:v>
                </c:pt>
                <c:pt idx="108">
                  <c:v>1.49292</c:v>
                </c:pt>
                <c:pt idx="109">
                  <c:v>1.49292</c:v>
                </c:pt>
                <c:pt idx="110">
                  <c:v>1.49292</c:v>
                </c:pt>
                <c:pt idx="111">
                  <c:v>1.49292</c:v>
                </c:pt>
                <c:pt idx="112">
                  <c:v>1.49292</c:v>
                </c:pt>
                <c:pt idx="113">
                  <c:v>1.49292</c:v>
                </c:pt>
                <c:pt idx="114">
                  <c:v>1.49292</c:v>
                </c:pt>
                <c:pt idx="115">
                  <c:v>1.49292</c:v>
                </c:pt>
                <c:pt idx="116">
                  <c:v>1.49292</c:v>
                </c:pt>
                <c:pt idx="117">
                  <c:v>1.49292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91A-4E3F-AB41-1E62CB78DCEC}"/>
            </c:ext>
          </c:extLst>
        </c:ser>
        <c:ser>
          <c:idx val="7"/>
          <c:order val="7"/>
          <c:tx>
            <c:v>Min. Freq</c:v>
          </c:tx>
          <c:marker>
            <c:symbol val="none"/>
          </c:marker>
          <c:dPt>
            <c:idx val="1"/>
            <c:bubble3D val="0"/>
            <c:spPr>
              <a:ln>
                <a:solidFill>
                  <a:srgbClr val="FF0000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8-691A-4E3F-AB41-1E62CB78DCEC}"/>
              </c:ext>
            </c:extLst>
          </c:dPt>
          <c:xVal>
            <c:numRef>
              <c:f>GainCurve!$L$8:$L$9</c:f>
              <c:numCache>
                <c:formatCode>General</c:formatCode>
                <c:ptCount val="2"/>
                <c:pt idx="0">
                  <c:v>44.010222126702025</c:v>
                </c:pt>
                <c:pt idx="1">
                  <c:v>44.010222126702025</c:v>
                </c:pt>
              </c:numCache>
            </c:numRef>
          </c:xVal>
          <c:yVal>
            <c:numRef>
              <c:f>GainCurve!$M$8:$M$9</c:f>
              <c:numCache>
                <c:formatCode>General</c:formatCode>
                <c:ptCount val="2"/>
                <c:pt idx="0">
                  <c:v>0</c:v>
                </c:pt>
                <c:pt idx="1">
                  <c:v>1.49292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91A-4E3F-AB41-1E62CB78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31264"/>
        <c:axId val="167937152"/>
      </c:scatterChart>
      <c:valAx>
        <c:axId val="167931264"/>
        <c:scaling>
          <c:orientation val="minMax"/>
          <c:max val="150"/>
          <c:min val="40"/>
        </c:scaling>
        <c:delete val="0"/>
        <c:axPos val="b"/>
        <c:majorGridlines>
          <c:spPr>
            <a:ln>
              <a:solidFill>
                <a:sysClr val="windowText" lastClr="000000"/>
              </a:solidFill>
              <a:prstDash val="sysDash"/>
            </a:ln>
          </c:spPr>
        </c:majorGridlines>
        <c:minorGridlines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937152"/>
        <c:crosses val="autoZero"/>
        <c:crossBetween val="midCat"/>
        <c:majorUnit val="10"/>
        <c:minorUnit val="5"/>
      </c:valAx>
      <c:valAx>
        <c:axId val="167937152"/>
        <c:scaling>
          <c:orientation val="minMax"/>
          <c:max val="1.8"/>
          <c:min val="0.8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931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708325703473115"/>
          <c:y val="3.093995499273931E-2"/>
          <c:w val="0.30341076768389025"/>
          <c:h val="0.3759930008748906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 sz="1600"/>
              <a:t>Peak Gain of LLC Resonant</a:t>
            </a:r>
            <a:r>
              <a:rPr lang="en-US" sz="1600" baseline="0"/>
              <a:t> Converter </a:t>
            </a:r>
            <a:endParaRPr lang="en-US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9498783934631"/>
          <c:y val="6.2327210205453114E-2"/>
          <c:w val="0.83316913645126867"/>
          <c:h val="0.85341088404104848"/>
        </c:manualLayout>
      </c:layout>
      <c:scatterChart>
        <c:scatterStyle val="smoothMarker"/>
        <c:varyColors val="0"/>
        <c:ser>
          <c:idx val="2"/>
          <c:order val="0"/>
          <c:spPr>
            <a:ln>
              <a:prstDash val="sysDash"/>
            </a:ln>
          </c:spP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0-16F8-49F2-B2EC-7BB3CF0C4E0D}"/>
            </c:ext>
          </c:extLst>
        </c:ser>
        <c:ser>
          <c:idx val="3"/>
          <c:order val="1"/>
          <c:spPr>
            <a:ln>
              <a:solidFill>
                <a:srgbClr val="9BBB59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1-16F8-49F2-B2EC-7BB3CF0C4E0D}"/>
            </c:ext>
          </c:extLst>
        </c:ser>
        <c:ser>
          <c:idx val="4"/>
          <c:order val="2"/>
          <c:spPr>
            <a:ln>
              <a:solidFill>
                <a:srgbClr val="F79646">
                  <a:lumMod val="50000"/>
                </a:srgbClr>
              </a:solidFill>
              <a:prstDash val="sysDash"/>
            </a:ln>
          </c:spP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2-16F8-49F2-B2EC-7BB3CF0C4E0D}"/>
            </c:ext>
          </c:extLst>
        </c:ser>
        <c:ser>
          <c:idx val="5"/>
          <c:order val="3"/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3-16F8-49F2-B2EC-7BB3CF0C4E0D}"/>
            </c:ext>
          </c:extLst>
        </c:ser>
        <c:ser>
          <c:idx val="6"/>
          <c:order val="4"/>
          <c:spPr>
            <a:ln>
              <a:solidFill>
                <a:srgbClr val="7030A0"/>
              </a:solidFill>
              <a:prstDash val="sysDash"/>
            </a:ln>
          </c:spP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4-16F8-49F2-B2EC-7BB3CF0C4E0D}"/>
            </c:ext>
          </c:extLst>
        </c:ser>
        <c:ser>
          <c:idx val="7"/>
          <c:order val="5"/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5-16F8-49F2-B2EC-7BB3CF0C4E0D}"/>
            </c:ext>
          </c:extLst>
        </c:ser>
        <c:ser>
          <c:idx val="8"/>
          <c:order val="6"/>
          <c:spPr>
            <a:ln>
              <a:solidFill>
                <a:srgbClr val="0070C0"/>
              </a:solidFill>
              <a:prstDash val="sysDash"/>
            </a:ln>
          </c:spP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6-16F8-49F2-B2EC-7BB3CF0C4E0D}"/>
            </c:ext>
          </c:extLst>
        </c:ser>
        <c:ser>
          <c:idx val="9"/>
          <c:order val="7"/>
          <c:spPr>
            <a:ln>
              <a:solidFill>
                <a:srgbClr val="0070C0"/>
              </a:solidFill>
            </a:ln>
          </c:spP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7-16F8-49F2-B2EC-7BB3CF0C4E0D}"/>
            </c:ext>
          </c:extLst>
        </c:ser>
        <c:ser>
          <c:idx val="10"/>
          <c:order val="8"/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8-16F8-49F2-B2EC-7BB3CF0C4E0D}"/>
            </c:ext>
          </c:extLst>
        </c:ser>
        <c:ser>
          <c:idx val="11"/>
          <c:order val="9"/>
          <c:spPr>
            <a:ln>
              <a:solidFill>
                <a:srgbClr val="C00000"/>
              </a:solidFill>
            </a:ln>
          </c:spP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9-16F8-49F2-B2EC-7BB3CF0C4E0D}"/>
            </c:ext>
          </c:extLst>
        </c:ser>
        <c:ser>
          <c:idx val="12"/>
          <c:order val="10"/>
          <c:spPr>
            <a:ln>
              <a:solidFill>
                <a:schemeClr val="tx1"/>
              </a:solidFill>
              <a:prstDash val="sysDash"/>
            </a:ln>
          </c:spPr>
          <c:marker>
            <c:spPr>
              <a:solidFill>
                <a:srgbClr val="C00000"/>
              </a:solidFill>
            </c:spPr>
          </c:marke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A-16F8-49F2-B2EC-7BB3CF0C4E0D}"/>
            </c:ext>
          </c:extLst>
        </c:ser>
        <c:ser>
          <c:idx val="14"/>
          <c:order val="11"/>
          <c:spPr>
            <a:ln>
              <a:solidFill>
                <a:srgbClr val="000000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xVal>
          <c:y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6="http://schemas.microsoft.com/office/drawing/2014/chart" uri="{C3380CC4-5D6E-409C-BE32-E72D297353CC}">
              <c16:uniqueId val="{0000000B-16F8-49F2-B2EC-7BB3CF0C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39872"/>
        <c:axId val="159042176"/>
      </c:scatterChart>
      <c:valAx>
        <c:axId val="159039872"/>
        <c:scaling>
          <c:orientation val="minMax"/>
          <c:max val="0.95000000000000062"/>
          <c:min val="0.15000000000000024"/>
        </c:scaling>
        <c:delete val="0"/>
        <c:axPos val="b"/>
        <c:majorGridlines>
          <c:spPr>
            <a:ln>
              <a:prstDash val="sysDash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59042176"/>
        <c:crosses val="autoZero"/>
        <c:crossBetween val="midCat"/>
        <c:minorUnit val="0.05"/>
      </c:valAx>
      <c:valAx>
        <c:axId val="159042176"/>
        <c:scaling>
          <c:orientation val="minMax"/>
          <c:max val="2.2000000000000002"/>
          <c:min val="1.1000000000000001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US" sz="1100"/>
                </a:pPr>
                <a:r>
                  <a:rPr lang="en-US" sz="1400"/>
                  <a:t>Peak Gain (M)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en-US"/>
          </a:p>
        </c:txPr>
        <c:crossAx val="15903987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72228004489837283"/>
          <c:y val="6.6152429841623894E-2"/>
          <c:w val="0.20542127845205041"/>
          <c:h val="0.42808936712596846"/>
        </c:manualLayout>
      </c:layout>
      <c:overlay val="0"/>
      <c:txPr>
        <a:bodyPr/>
        <a:lstStyle/>
        <a:p>
          <a:pPr>
            <a:defRPr lang="en-US"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289" r="0.75000000000000289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632697469599227E-2"/>
          <c:y val="2.2284628834225419E-2"/>
          <c:w val="0.91549295774647887"/>
          <c:h val="0.9274324789274955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PeakGainCurve!$B$26</c:f>
              <c:strCache>
                <c:ptCount val="1"/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PeakGainCurve!$B$27:$B$39</c:f>
              <c:numCache>
                <c:formatCode>General</c:formatCode>
                <c:ptCount val="1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23-4EEA-8208-909942E0ED75}"/>
            </c:ext>
          </c:extLst>
        </c:ser>
        <c:ser>
          <c:idx val="1"/>
          <c:order val="1"/>
          <c:tx>
            <c:strRef>
              <c:f>PeakGainCurve!$C$26</c:f>
              <c:strCache>
                <c:ptCount val="1"/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PeakGainCurve!$C$27:$C$39</c:f>
              <c:numCache>
                <c:formatCode>General</c:formatCode>
                <c:ptCount val="1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23-4EEA-8208-909942E0ED75}"/>
            </c:ext>
          </c:extLst>
        </c:ser>
        <c:ser>
          <c:idx val="2"/>
          <c:order val="2"/>
          <c:tx>
            <c:strRef>
              <c:f>PeakGainCurve!$D$26</c:f>
              <c:strCache>
                <c:ptCount val="1"/>
                <c:pt idx="0">
                  <c:v>m=2.5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PeakGainCurve!$D$27:$D$39</c:f>
              <c:numCache>
                <c:formatCode>General</c:formatCode>
                <c:ptCount val="13"/>
                <c:pt idx="1">
                  <c:v>1.373</c:v>
                </c:pt>
                <c:pt idx="2">
                  <c:v>1.391</c:v>
                </c:pt>
                <c:pt idx="3">
                  <c:v>1.4159999999999999</c:v>
                </c:pt>
                <c:pt idx="4">
                  <c:v>1.45</c:v>
                </c:pt>
                <c:pt idx="5">
                  <c:v>1.502</c:v>
                </c:pt>
                <c:pt idx="6">
                  <c:v>1.5820000000000001</c:v>
                </c:pt>
                <c:pt idx="7">
                  <c:v>1.7070000000000001</c:v>
                </c:pt>
                <c:pt idx="8">
                  <c:v>1.9119999999999999</c:v>
                </c:pt>
                <c:pt idx="9">
                  <c:v>2.2559999999999998</c:v>
                </c:pt>
                <c:pt idx="10">
                  <c:v>2.8759999999999999</c:v>
                </c:pt>
                <c:pt idx="11">
                  <c:v>4.1829999999999998</c:v>
                </c:pt>
                <c:pt idx="12">
                  <c:v>8.2149999999999999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23-4EEA-8208-909942E0ED75}"/>
            </c:ext>
          </c:extLst>
        </c:ser>
        <c:ser>
          <c:idx val="3"/>
          <c:order val="3"/>
          <c:tx>
            <c:strRef>
              <c:f>PeakGainCurve!$E$26</c:f>
              <c:strCache>
                <c:ptCount val="1"/>
                <c:pt idx="0">
                  <c:v>m=3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PeakGainCurve!$E$27:$E$39</c:f>
              <c:numCache>
                <c:formatCode>General</c:formatCode>
                <c:ptCount val="13"/>
                <c:pt idx="1">
                  <c:v>1.2789999999999999</c:v>
                </c:pt>
                <c:pt idx="2">
                  <c:v>1.2909999999999999</c:v>
                </c:pt>
                <c:pt idx="3">
                  <c:v>1.3080000000000001</c:v>
                </c:pt>
                <c:pt idx="4">
                  <c:v>1.331</c:v>
                </c:pt>
                <c:pt idx="5">
                  <c:v>1.3680000000000001</c:v>
                </c:pt>
                <c:pt idx="6">
                  <c:v>1.4259999999999999</c:v>
                </c:pt>
                <c:pt idx="7">
                  <c:v>1.5229999999999999</c:v>
                </c:pt>
                <c:pt idx="8">
                  <c:v>1.6879999999999999</c:v>
                </c:pt>
                <c:pt idx="9">
                  <c:v>1.976</c:v>
                </c:pt>
                <c:pt idx="10">
                  <c:v>2.5070000000000001</c:v>
                </c:pt>
                <c:pt idx="11">
                  <c:v>3.629</c:v>
                </c:pt>
                <c:pt idx="12">
                  <c:v>7.0659999999999998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523-4EEA-8208-909942E0ED75}"/>
            </c:ext>
          </c:extLst>
        </c:ser>
        <c:ser>
          <c:idx val="4"/>
          <c:order val="4"/>
          <c:tx>
            <c:strRef>
              <c:f>PeakGainCurve!$F$26</c:f>
              <c:strCache>
                <c:ptCount val="1"/>
                <c:pt idx="0">
                  <c:v>m=3.5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PeakGainCurve!$F$27:$F$39</c:f>
              <c:numCache>
                <c:formatCode>General</c:formatCode>
                <c:ptCount val="13"/>
                <c:pt idx="1">
                  <c:v>1.2210000000000001</c:v>
                </c:pt>
                <c:pt idx="2">
                  <c:v>1.23</c:v>
                </c:pt>
                <c:pt idx="3">
                  <c:v>1.2410000000000001</c:v>
                </c:pt>
                <c:pt idx="4">
                  <c:v>1.2589999999999999</c:v>
                </c:pt>
                <c:pt idx="5">
                  <c:v>1.2849999999999999</c:v>
                </c:pt>
                <c:pt idx="6">
                  <c:v>1.3280000000000001</c:v>
                </c:pt>
                <c:pt idx="7">
                  <c:v>1.4039999999999999</c:v>
                </c:pt>
                <c:pt idx="8">
                  <c:v>1.54</c:v>
                </c:pt>
                <c:pt idx="9">
                  <c:v>1.788</c:v>
                </c:pt>
                <c:pt idx="10">
                  <c:v>2.2559999999999998</c:v>
                </c:pt>
                <c:pt idx="11">
                  <c:v>3.2549999999999999</c:v>
                </c:pt>
                <c:pt idx="12">
                  <c:v>6.3579999999999997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523-4EEA-8208-909942E0ED75}"/>
            </c:ext>
          </c:extLst>
        </c:ser>
        <c:ser>
          <c:idx val="5"/>
          <c:order val="5"/>
          <c:tx>
            <c:strRef>
              <c:f>PeakGainCurve!$G$26</c:f>
              <c:strCache>
                <c:ptCount val="1"/>
                <c:pt idx="0">
                  <c:v>m=4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PeakGainCurve!$G$27:$G$39</c:f>
              <c:numCache>
                <c:formatCode>General</c:formatCode>
                <c:ptCount val="13"/>
                <c:pt idx="1">
                  <c:v>1.1830000000000001</c:v>
                </c:pt>
                <c:pt idx="2">
                  <c:v>1.1890000000000001</c:v>
                </c:pt>
                <c:pt idx="3">
                  <c:v>1.198</c:v>
                </c:pt>
                <c:pt idx="4">
                  <c:v>1.2110000000000001</c:v>
                </c:pt>
                <c:pt idx="5">
                  <c:v>1.23</c:v>
                </c:pt>
                <c:pt idx="6">
                  <c:v>1.2629999999999999</c:v>
                </c:pt>
                <c:pt idx="7">
                  <c:v>1.3220000000000001</c:v>
                </c:pt>
                <c:pt idx="8">
                  <c:v>1.4350000000000001</c:v>
                </c:pt>
                <c:pt idx="9">
                  <c:v>1.6519999999999999</c:v>
                </c:pt>
                <c:pt idx="10">
                  <c:v>2.0710000000000002</c:v>
                </c:pt>
                <c:pt idx="11">
                  <c:v>2.9769999999999999</c:v>
                </c:pt>
                <c:pt idx="12">
                  <c:v>5.806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523-4EEA-8208-909942E0ED75}"/>
            </c:ext>
          </c:extLst>
        </c:ser>
        <c:ser>
          <c:idx val="6"/>
          <c:order val="6"/>
          <c:tx>
            <c:strRef>
              <c:f>PeakGainCurve!$H$26</c:f>
              <c:strCache>
                <c:ptCount val="1"/>
                <c:pt idx="0">
                  <c:v>m=4.5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PeakGainCurve!$H$27:$H$39</c:f>
              <c:numCache>
                <c:formatCode>General</c:formatCode>
                <c:ptCount val="13"/>
                <c:pt idx="1">
                  <c:v>1.1559999999999999</c:v>
                </c:pt>
                <c:pt idx="2">
                  <c:v>1.1599999999999999</c:v>
                </c:pt>
                <c:pt idx="3">
                  <c:v>1.167</c:v>
                </c:pt>
                <c:pt idx="4">
                  <c:v>1.177</c:v>
                </c:pt>
                <c:pt idx="5">
                  <c:v>1.1919999999999999</c:v>
                </c:pt>
                <c:pt idx="6">
                  <c:v>1.2170000000000001</c:v>
                </c:pt>
                <c:pt idx="7">
                  <c:v>1.2629999999999999</c:v>
                </c:pt>
                <c:pt idx="8">
                  <c:v>1.3580000000000001</c:v>
                </c:pt>
                <c:pt idx="9">
                  <c:v>1.548</c:v>
                </c:pt>
                <c:pt idx="10">
                  <c:v>1.93</c:v>
                </c:pt>
                <c:pt idx="11">
                  <c:v>2.766</c:v>
                </c:pt>
                <c:pt idx="12">
                  <c:v>5.3890000000000002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523-4EEA-8208-909942E0ED75}"/>
            </c:ext>
          </c:extLst>
        </c:ser>
        <c:ser>
          <c:idx val="7"/>
          <c:order val="7"/>
          <c:tx>
            <c:strRef>
              <c:f>PeakGainCurve!$I$26</c:f>
              <c:strCache>
                <c:ptCount val="1"/>
                <c:pt idx="0">
                  <c:v>m=5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PeakGainCurve!$I$27:$I$39</c:f>
              <c:numCache>
                <c:formatCode>General</c:formatCode>
                <c:ptCount val="13"/>
                <c:pt idx="1">
                  <c:v>1.135</c:v>
                </c:pt>
                <c:pt idx="2">
                  <c:v>1.139</c:v>
                </c:pt>
                <c:pt idx="3">
                  <c:v>1.1439999999999999</c:v>
                </c:pt>
                <c:pt idx="4">
                  <c:v>1.1519999999999999</c:v>
                </c:pt>
                <c:pt idx="5">
                  <c:v>1.163</c:v>
                </c:pt>
                <c:pt idx="6">
                  <c:v>1.1830000000000001</c:v>
                </c:pt>
                <c:pt idx="7">
                  <c:v>1.22</c:v>
                </c:pt>
                <c:pt idx="8">
                  <c:v>1.298</c:v>
                </c:pt>
                <c:pt idx="9">
                  <c:v>1.4670000000000001</c:v>
                </c:pt>
                <c:pt idx="10">
                  <c:v>1.8160000000000001</c:v>
                </c:pt>
                <c:pt idx="11">
                  <c:v>2.5939999999999999</c:v>
                </c:pt>
                <c:pt idx="12">
                  <c:v>5.0449999999999999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523-4EEA-8208-909942E0ED75}"/>
            </c:ext>
          </c:extLst>
        </c:ser>
        <c:ser>
          <c:idx val="8"/>
          <c:order val="8"/>
          <c:tx>
            <c:strRef>
              <c:f>PeakGainCurve!$J$26</c:f>
              <c:strCache>
                <c:ptCount val="1"/>
                <c:pt idx="0">
                  <c:v>m=6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PeakGainCurve!$J$27:$J$39</c:f>
              <c:numCache>
                <c:formatCode>General</c:formatCode>
                <c:ptCount val="13"/>
                <c:pt idx="1">
                  <c:v>1.107</c:v>
                </c:pt>
                <c:pt idx="2">
                  <c:v>1.1100000000000001</c:v>
                </c:pt>
                <c:pt idx="3">
                  <c:v>1.1180000000000001</c:v>
                </c:pt>
                <c:pt idx="4">
                  <c:v>1.1180000000000001</c:v>
                </c:pt>
                <c:pt idx="5">
                  <c:v>1.125</c:v>
                </c:pt>
                <c:pt idx="6">
                  <c:v>1.1379999999999999</c:v>
                </c:pt>
                <c:pt idx="7">
                  <c:v>1.1619999999999999</c:v>
                </c:pt>
                <c:pt idx="8">
                  <c:v>1.216</c:v>
                </c:pt>
                <c:pt idx="9">
                  <c:v>1.3480000000000001</c:v>
                </c:pt>
                <c:pt idx="10">
                  <c:v>1.6459999999999999</c:v>
                </c:pt>
                <c:pt idx="11">
                  <c:v>2.3319999999999999</c:v>
                </c:pt>
                <c:pt idx="12">
                  <c:v>4.508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523-4EEA-8208-909942E0ED75}"/>
            </c:ext>
          </c:extLst>
        </c:ser>
        <c:ser>
          <c:idx val="9"/>
          <c:order val="9"/>
          <c:tx>
            <c:strRef>
              <c:f>PeakGainCurve!$K$26</c:f>
              <c:strCache>
                <c:ptCount val="1"/>
                <c:pt idx="0">
                  <c:v>m=7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PeakGainCurve!$K$27:$K$39</c:f>
              <c:numCache>
                <c:formatCode>General</c:formatCode>
                <c:ptCount val="13"/>
                <c:pt idx="1">
                  <c:v>1.0880000000000001</c:v>
                </c:pt>
                <c:pt idx="2">
                  <c:v>1.0900000000000001</c:v>
                </c:pt>
                <c:pt idx="3">
                  <c:v>1.093</c:v>
                </c:pt>
                <c:pt idx="4">
                  <c:v>1.0960000000000001</c:v>
                </c:pt>
                <c:pt idx="5">
                  <c:v>1.101</c:v>
                </c:pt>
                <c:pt idx="6">
                  <c:v>1.1100000000000001</c:v>
                </c:pt>
                <c:pt idx="7">
                  <c:v>1.1259999999999999</c:v>
                </c:pt>
                <c:pt idx="8">
                  <c:v>1.163</c:v>
                </c:pt>
                <c:pt idx="9">
                  <c:v>1.2649999999999999</c:v>
                </c:pt>
                <c:pt idx="10">
                  <c:v>1.5229999999999999</c:v>
                </c:pt>
                <c:pt idx="11">
                  <c:v>2.14</c:v>
                </c:pt>
                <c:pt idx="12">
                  <c:v>4.1289999999999996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523-4EEA-8208-909942E0ED75}"/>
            </c:ext>
          </c:extLst>
        </c:ser>
        <c:ser>
          <c:idx val="10"/>
          <c:order val="10"/>
          <c:tx>
            <c:strRef>
              <c:f>PeakGainCurve!$L$26</c:f>
              <c:strCache>
                <c:ptCount val="1"/>
                <c:pt idx="0">
                  <c:v>m=8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PeakGainCurve!$L$27:$L$39</c:f>
              <c:numCache>
                <c:formatCode>General</c:formatCode>
                <c:ptCount val="13"/>
                <c:pt idx="1">
                  <c:v>1.075</c:v>
                </c:pt>
                <c:pt idx="2">
                  <c:v>1.077</c:v>
                </c:pt>
                <c:pt idx="3">
                  <c:v>1.0780000000000001</c:v>
                </c:pt>
                <c:pt idx="4">
                  <c:v>1.081</c:v>
                </c:pt>
                <c:pt idx="5">
                  <c:v>1.085</c:v>
                </c:pt>
                <c:pt idx="6">
                  <c:v>1.091</c:v>
                </c:pt>
                <c:pt idx="7">
                  <c:v>1.1020000000000001</c:v>
                </c:pt>
                <c:pt idx="8">
                  <c:v>1.1279999999999999</c:v>
                </c:pt>
                <c:pt idx="9">
                  <c:v>1.206</c:v>
                </c:pt>
                <c:pt idx="10">
                  <c:v>1.43</c:v>
                </c:pt>
                <c:pt idx="11">
                  <c:v>1.9930000000000001</c:v>
                </c:pt>
                <c:pt idx="12">
                  <c:v>3.8279999999999998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523-4EEA-8208-909942E0ED75}"/>
            </c:ext>
          </c:extLst>
        </c:ser>
        <c:ser>
          <c:idx val="11"/>
          <c:order val="11"/>
          <c:tx>
            <c:strRef>
              <c:f>PeakGainCurve!$M$26</c:f>
              <c:strCache>
                <c:ptCount val="1"/>
                <c:pt idx="0">
                  <c:v>m=9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PeakGainCurve!$M$27:$M$39</c:f>
              <c:numCache>
                <c:formatCode>General</c:formatCode>
                <c:ptCount val="13"/>
                <c:pt idx="1">
                  <c:v>1.0649999999999999</c:v>
                </c:pt>
                <c:pt idx="2">
                  <c:v>1.0660000000000001</c:v>
                </c:pt>
                <c:pt idx="3">
                  <c:v>1.0680000000000001</c:v>
                </c:pt>
                <c:pt idx="4">
                  <c:v>1.07</c:v>
                </c:pt>
                <c:pt idx="5">
                  <c:v>1.073</c:v>
                </c:pt>
                <c:pt idx="6">
                  <c:v>1.077</c:v>
                </c:pt>
                <c:pt idx="7">
                  <c:v>1.0860000000000001</c:v>
                </c:pt>
                <c:pt idx="8">
                  <c:v>1.1040000000000001</c:v>
                </c:pt>
                <c:pt idx="9">
                  <c:v>1.163</c:v>
                </c:pt>
                <c:pt idx="10">
                  <c:v>1.357</c:v>
                </c:pt>
                <c:pt idx="11">
                  <c:v>1.8740000000000001</c:v>
                </c:pt>
                <c:pt idx="12">
                  <c:v>3.5830000000000002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523-4EEA-8208-909942E0ED75}"/>
            </c:ext>
          </c:extLst>
        </c:ser>
        <c:ser>
          <c:idx val="12"/>
          <c:order val="12"/>
          <c:tx>
            <c:strRef>
              <c:f>PeakGainCurve!$N$26</c:f>
              <c:strCache>
                <c:ptCount val="1"/>
                <c:pt idx="0">
                  <c:v>m=10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PeakGainCurve!$N$27:$N$39</c:f>
              <c:numCache>
                <c:formatCode>General</c:formatCode>
                <c:ptCount val="13"/>
                <c:pt idx="1">
                  <c:v>1.0580000000000001</c:v>
                </c:pt>
                <c:pt idx="2">
                  <c:v>1.0589999999999999</c:v>
                </c:pt>
                <c:pt idx="3">
                  <c:v>1.06</c:v>
                </c:pt>
                <c:pt idx="4">
                  <c:v>1.0609999999999999</c:v>
                </c:pt>
                <c:pt idx="5">
                  <c:v>1.0640000000000001</c:v>
                </c:pt>
                <c:pt idx="6">
                  <c:v>1.0669999999999999</c:v>
                </c:pt>
                <c:pt idx="7">
                  <c:v>1.0740000000000001</c:v>
                </c:pt>
                <c:pt idx="8">
                  <c:v>1.0880000000000001</c:v>
                </c:pt>
                <c:pt idx="9">
                  <c:v>1.131</c:v>
                </c:pt>
                <c:pt idx="10">
                  <c:v>1.2989999999999999</c:v>
                </c:pt>
                <c:pt idx="11">
                  <c:v>1.7769999999999999</c:v>
                </c:pt>
                <c:pt idx="12">
                  <c:v>3.3839999999999999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523-4EEA-8208-909942E0ED75}"/>
            </c:ext>
          </c:extLst>
        </c:ser>
        <c:ser>
          <c:idx val="13"/>
          <c:order val="13"/>
          <c:tx>
            <c:strRef>
              <c:f>PeakGainCurve!$O$26</c:f>
              <c:strCache>
                <c:ptCount val="1"/>
                <c:pt idx="0">
                  <c:v>m=12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PeakGainCurve!$O$27:$O$39</c:f>
              <c:numCache>
                <c:formatCode>General</c:formatCode>
                <c:ptCount val="13"/>
                <c:pt idx="1">
                  <c:v>1.0469999999999999</c:v>
                </c:pt>
                <c:pt idx="2">
                  <c:v>1.048</c:v>
                </c:pt>
                <c:pt idx="3">
                  <c:v>1.048</c:v>
                </c:pt>
                <c:pt idx="4">
                  <c:v>1.0489999999999999</c:v>
                </c:pt>
                <c:pt idx="5">
                  <c:v>1.0509999999999999</c:v>
                </c:pt>
                <c:pt idx="6">
                  <c:v>1.0529999999999999</c:v>
                </c:pt>
                <c:pt idx="7">
                  <c:v>1.0569999999999999</c:v>
                </c:pt>
                <c:pt idx="8">
                  <c:v>1.0660000000000001</c:v>
                </c:pt>
                <c:pt idx="9">
                  <c:v>1.091</c:v>
                </c:pt>
                <c:pt idx="10">
                  <c:v>1.212</c:v>
                </c:pt>
                <c:pt idx="11">
                  <c:v>1.6259999999999999</c:v>
                </c:pt>
                <c:pt idx="12">
                  <c:v>3.069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523-4EEA-8208-909942E0ED75}"/>
            </c:ext>
          </c:extLst>
        </c:ser>
        <c:ser>
          <c:idx val="14"/>
          <c:order val="14"/>
          <c:tx>
            <c:strRef>
              <c:f>PeakGainCurve!$P$26</c:f>
              <c:strCache>
                <c:ptCount val="1"/>
                <c:pt idx="0">
                  <c:v>m=14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PeakGainCurve!$P$27:$P$39</c:f>
              <c:numCache>
                <c:formatCode>General</c:formatCode>
                <c:ptCount val="13"/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1.0409999999999999</c:v>
                </c:pt>
                <c:pt idx="5">
                  <c:v>1.042</c:v>
                </c:pt>
                <c:pt idx="6">
                  <c:v>1.044</c:v>
                </c:pt>
                <c:pt idx="7">
                  <c:v>1.0469999999999999</c:v>
                </c:pt>
                <c:pt idx="8">
                  <c:v>1.052</c:v>
                </c:pt>
                <c:pt idx="9">
                  <c:v>1.0680000000000001</c:v>
                </c:pt>
                <c:pt idx="10">
                  <c:v>1.1519999999999999</c:v>
                </c:pt>
                <c:pt idx="11">
                  <c:v>1.5129999999999999</c:v>
                </c:pt>
                <c:pt idx="12">
                  <c:v>2.8279999999999998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523-4EEA-8208-909942E0ED75}"/>
            </c:ext>
          </c:extLst>
        </c:ser>
        <c:ser>
          <c:idx val="15"/>
          <c:order val="15"/>
          <c:tx>
            <c:strRef>
              <c:f>PeakGainCurve!$Q$26</c:f>
              <c:strCache>
                <c:ptCount val="1"/>
                <c:pt idx="0">
                  <c:v>m=16</c:v>
                </c:pt>
              </c:strCache>
            </c:strRef>
          </c:tx>
          <c:xVal>
            <c:numRef>
              <c:f>PeakGainCurve!$A$27:$A$39</c:f>
              <c:numCache>
                <c:formatCode>General</c:formatCode>
                <c:ptCount val="13"/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0.2</c:v>
                </c:pt>
                <c:pt idx="12">
                  <c:v>0.1</c:v>
                </c:pt>
              </c:numCache>
            </c:numRef>
          </c:xVal>
          <c:yVal>
            <c:numRef>
              <c:f>PeakGainCurve!$Q$27:$Q$39</c:f>
              <c:numCache>
                <c:formatCode>General</c:formatCode>
                <c:ptCount val="13"/>
                <c:pt idx="1">
                  <c:v>1.034</c:v>
                </c:pt>
                <c:pt idx="2">
                  <c:v>1.0349999999999999</c:v>
                </c:pt>
                <c:pt idx="3">
                  <c:v>1.0349999999999999</c:v>
                </c:pt>
                <c:pt idx="4">
                  <c:v>1.0349999999999999</c:v>
                </c:pt>
                <c:pt idx="5">
                  <c:v>1.036</c:v>
                </c:pt>
                <c:pt idx="6">
                  <c:v>1.0369999999999999</c:v>
                </c:pt>
                <c:pt idx="7">
                  <c:v>1.0389999999999999</c:v>
                </c:pt>
                <c:pt idx="8">
                  <c:v>1.0429999999999999</c:v>
                </c:pt>
                <c:pt idx="9">
                  <c:v>1.054</c:v>
                </c:pt>
                <c:pt idx="10">
                  <c:v>1.1100000000000001</c:v>
                </c:pt>
                <c:pt idx="11">
                  <c:v>1.4259999999999999</c:v>
                </c:pt>
                <c:pt idx="12">
                  <c:v>2.5110000000000001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523-4EEA-8208-909942E0ED75}"/>
            </c:ext>
          </c:extLst>
        </c:ser>
        <c:ser>
          <c:idx val="16"/>
          <c:order val="16"/>
          <c:tx>
            <c:v>Required Gain</c:v>
          </c:tx>
          <c:spPr>
            <a:ln>
              <a:solidFill>
                <a:srgbClr val="FF0000"/>
              </a:solidFill>
              <a:prstDash val="sysDot"/>
              <a:headEnd type="none" w="med" len="med"/>
              <a:tailEnd type="none" w="med" len="med"/>
            </a:ln>
          </c:spPr>
          <c:marker>
            <c:spPr>
              <a:ln>
                <a:solidFill>
                  <a:srgbClr val="FF0000"/>
                </a:solidFill>
                <a:prstDash val="sysDot"/>
                <a:headEnd type="none" w="med" len="med"/>
                <a:tailEnd type="none" w="med" len="med"/>
              </a:ln>
            </c:spPr>
          </c:marker>
          <c:xVal>
            <c:numRef>
              <c:f>PeakGainCurve!$A$28:$A$39</c:f>
              <c:numCache>
                <c:formatCode>General</c:formatCode>
                <c:ptCount val="12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</c:numCache>
            </c:numRef>
          </c:xVal>
          <c:yVal>
            <c:numRef>
              <c:f>PeakGainCurve!$R$28:$R$39</c:f>
              <c:numCache>
                <c:formatCode>General</c:formatCode>
                <c:ptCount val="12"/>
                <c:pt idx="0">
                  <c:v>1.49292</c:v>
                </c:pt>
                <c:pt idx="1">
                  <c:v>1.49292</c:v>
                </c:pt>
                <c:pt idx="2">
                  <c:v>1.49292</c:v>
                </c:pt>
                <c:pt idx="3">
                  <c:v>1.49292</c:v>
                </c:pt>
                <c:pt idx="4">
                  <c:v>1.49292</c:v>
                </c:pt>
                <c:pt idx="5">
                  <c:v>1.49292</c:v>
                </c:pt>
                <c:pt idx="6">
                  <c:v>1.49292</c:v>
                </c:pt>
                <c:pt idx="7">
                  <c:v>1.49292</c:v>
                </c:pt>
                <c:pt idx="8">
                  <c:v>1.49292</c:v>
                </c:pt>
                <c:pt idx="9">
                  <c:v>1.49292</c:v>
                </c:pt>
                <c:pt idx="10">
                  <c:v>1.49292</c:v>
                </c:pt>
                <c:pt idx="11">
                  <c:v>1.49292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0E-4C53-AF72-14882D713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37376"/>
        <c:axId val="158855552"/>
      </c:scatterChart>
      <c:valAx>
        <c:axId val="158837376"/>
        <c:scaling>
          <c:orientation val="minMax"/>
          <c:max val="1"/>
          <c:min val="0.1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8855552"/>
        <c:crosses val="autoZero"/>
        <c:crossBetween val="midCat"/>
        <c:majorUnit val="0.1"/>
      </c:valAx>
      <c:valAx>
        <c:axId val="158855552"/>
        <c:scaling>
          <c:orientation val="minMax"/>
          <c:max val="2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8837376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9305086800893776"/>
          <c:y val="3.7019775035911716E-2"/>
          <c:w val="0.17210766389765986"/>
          <c:h val="0.5444318377398585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8370203724552"/>
          <c:y val="2.8856451423104276E-2"/>
          <c:w val="0.82827157926013961"/>
          <c:h val="0.906032038392861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GainCurve!$C$7</c:f>
              <c:strCache>
                <c:ptCount val="1"/>
                <c:pt idx="0">
                  <c:v>100% load</c:v>
                </c:pt>
              </c:strCache>
            </c:strRef>
          </c:tx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GainCurve!$C$8:$C$110</c:f>
              <c:numCache>
                <c:formatCode>0.00</c:formatCode>
                <c:ptCount val="103"/>
                <c:pt idx="0">
                  <c:v>1.2003568191826128</c:v>
                </c:pt>
                <c:pt idx="1">
                  <c:v>1.2690739227165109</c:v>
                </c:pt>
                <c:pt idx="2">
                  <c:v>1.3403230359792806</c:v>
                </c:pt>
                <c:pt idx="3">
                  <c:v>1.4135100997140584</c:v>
                </c:pt>
                <c:pt idx="4">
                  <c:v>1.4878166737874339</c:v>
                </c:pt>
                <c:pt idx="5">
                  <c:v>1.5621802759544199</c:v>
                </c:pt>
                <c:pt idx="6">
                  <c:v>1.6352948267952665</c:v>
                </c:pt>
                <c:pt idx="7">
                  <c:v>1.7056410348817592</c:v>
                </c:pt>
                <c:pt idx="8">
                  <c:v>1.7715545192370181</c:v>
                </c:pt>
                <c:pt idx="9">
                  <c:v>1.8313335603942431</c:v>
                </c:pt>
                <c:pt idx="10">
                  <c:v>1.8833786989574379</c:v>
                </c:pt>
                <c:pt idx="11">
                  <c:v>1.9263451872044854</c:v>
                </c:pt>
                <c:pt idx="12">
                  <c:v>1.9592808250170719</c:v>
                </c:pt>
                <c:pt idx="13">
                  <c:v>1.9817205992583022</c:v>
                </c:pt>
                <c:pt idx="14">
                  <c:v>1.9937179387985382</c:v>
                </c:pt>
                <c:pt idx="15">
                  <c:v>1.9958079687500141</c:v>
                </c:pt>
                <c:pt idx="16">
                  <c:v>1.9889148490996644</c:v>
                </c:pt>
                <c:pt idx="17">
                  <c:v>1.9742266787382037</c:v>
                </c:pt>
                <c:pt idx="18">
                  <c:v>1.9530642064807919</c:v>
                </c:pt>
                <c:pt idx="19">
                  <c:v>1.9267646629261925</c:v>
                </c:pt>
                <c:pt idx="20">
                  <c:v>1.8965931282189292</c:v>
                </c:pt>
                <c:pt idx="21">
                  <c:v>1.8636849440852832</c:v>
                </c:pt>
                <c:pt idx="22">
                  <c:v>1.829016239449816</c:v>
                </c:pt>
                <c:pt idx="23">
                  <c:v>1.7933963249166125</c:v>
                </c:pt>
                <c:pt idx="24">
                  <c:v>1.7574749584090164</c:v>
                </c:pt>
                <c:pt idx="25">
                  <c:v>1.7217582912710647</c:v>
                </c:pt>
                <c:pt idx="26">
                  <c:v>1.6866287666838486</c:v>
                </c:pt>
                <c:pt idx="27">
                  <c:v>1.6523657611962326</c:v>
                </c:pt>
                <c:pt idx="28">
                  <c:v>1.6191650356783918</c:v>
                </c:pt>
                <c:pt idx="29">
                  <c:v>1.5871560024335167</c:v>
                </c:pt>
                <c:pt idx="30">
                  <c:v>1.5564164418060331</c:v>
                </c:pt>
                <c:pt idx="31">
                  <c:v>1.5269846804105436</c:v>
                </c:pt>
                <c:pt idx="32">
                  <c:v>1.4988694462734142</c:v>
                </c:pt>
                <c:pt idx="33">
                  <c:v>1.4720577050110049</c:v>
                </c:pt>
                <c:pt idx="34">
                  <c:v>1.4465208013258888</c:v>
                </c:pt>
                <c:pt idx="35">
                  <c:v>1.4222192127637707</c:v>
                </c:pt>
                <c:pt idx="36">
                  <c:v>1.3991061876874544</c:v>
                </c:pt>
                <c:pt idx="37">
                  <c:v>1.377130498604231</c:v>
                </c:pt>
                <c:pt idx="38">
                  <c:v>1.3562385018295198</c:v>
                </c:pt>
                <c:pt idx="39">
                  <c:v>1.3363756581652337</c:v>
                </c:pt>
                <c:pt idx="40">
                  <c:v>1.3174876380422524</c:v>
                </c:pt>
                <c:pt idx="41">
                  <c:v>1.2995211085680103</c:v>
                </c:pt>
                <c:pt idx="42">
                  <c:v>1.2824242787361806</c:v>
                </c:pt>
                <c:pt idx="43">
                  <c:v>1.266147262072465</c:v>
                </c:pt>
                <c:pt idx="44">
                  <c:v>1.2506423025326663</c:v>
                </c:pt>
                <c:pt idx="45">
                  <c:v>1.2358638988969513</c:v>
                </c:pt>
                <c:pt idx="46">
                  <c:v>1.2217688546533707</c:v>
                </c:pt>
                <c:pt idx="47">
                  <c:v>1.2083162739574331</c:v>
                </c:pt>
                <c:pt idx="48">
                  <c:v>1.195467519300506</c:v>
                </c:pt>
                <c:pt idx="49">
                  <c:v>1.1831861427016455</c:v>
                </c:pt>
                <c:pt idx="50">
                  <c:v>1.1714377993030742</c:v>
                </c:pt>
                <c:pt idx="51">
                  <c:v>1.1601901500001828</c:v>
                </c:pt>
                <c:pt idx="52">
                  <c:v>1.1494127580171598</c:v>
                </c:pt>
                <c:pt idx="53">
                  <c:v>1.1390769830278555</c:v>
                </c:pt>
                <c:pt idx="54">
                  <c:v>1.1291558754242805</c:v>
                </c:pt>
                <c:pt idx="55">
                  <c:v>1.1196240725795219</c:v>
                </c:pt>
                <c:pt idx="56">
                  <c:v>1.1104576983815508</c:v>
                </c:pt>
                <c:pt idx="57">
                  <c:v>1.1016342668862094</c:v>
                </c:pt>
                <c:pt idx="58">
                  <c:v>1.0931325906181077</c:v>
                </c:pt>
                <c:pt idx="59">
                  <c:v>1.0849326938117447</c:v>
                </c:pt>
                <c:pt idx="60">
                  <c:v>1.0770157307119415</c:v>
                </c:pt>
                <c:pt idx="61">
                  <c:v>1.0693639089276963</c:v>
                </c:pt>
                <c:pt idx="62">
                  <c:v>1.0619604177450011</c:v>
                </c:pt>
                <c:pt idx="63">
                  <c:v>1.0547893612431816</c:v>
                </c:pt>
                <c:pt idx="64">
                  <c:v>1.0478356960190469</c:v>
                </c:pt>
                <c:pt idx="65">
                  <c:v>1.0410851732982662</c:v>
                </c:pt>
                <c:pt idx="66">
                  <c:v>1.0345242851999938</c:v>
                </c:pt>
                <c:pt idx="67">
                  <c:v>1.0281402149157102</c:v>
                </c:pt>
                <c:pt idx="68">
                  <c:v>1.0219207905642069</c:v>
                </c:pt>
                <c:pt idx="69">
                  <c:v>1.0158544424898999</c:v>
                </c:pt>
                <c:pt idx="70">
                  <c:v>1.0099301637797624</c:v>
                </c:pt>
                <c:pt idx="71">
                  <c:v>1.0041374737842554</c:v>
                </c:pt>
                <c:pt idx="72">
                  <c:v>0.99846638443878744</c:v>
                </c:pt>
                <c:pt idx="73">
                  <c:v>0.99290736919403633</c:v>
                </c:pt>
                <c:pt idx="74">
                  <c:v>0.98745133437542698</c:v>
                </c:pt>
                <c:pt idx="75">
                  <c:v>0.98208959280387131</c:v>
                </c:pt>
                <c:pt idx="76">
                  <c:v>0.97681383952141387</c:v>
                </c:pt>
                <c:pt idx="77">
                  <c:v>0.97161612947642673</c:v>
                </c:pt>
                <c:pt idx="78">
                  <c:v>0.96648885703348175</c:v>
                </c:pt>
                <c:pt idx="79">
                  <c:v>0.9614247371828325</c:v>
                </c:pt>
                <c:pt idx="80">
                  <c:v>0.95641678833362187</c:v>
                </c:pt>
                <c:pt idx="81">
                  <c:v>0.95145831658341951</c:v>
                </c:pt>
                <c:pt idx="82">
                  <c:v>0.94654290136452324</c:v>
                </c:pt>
                <c:pt idx="83">
                  <c:v>0.94166438237462224</c:v>
                </c:pt>
                <c:pt idx="84">
                  <c:v>0.93681684770597495</c:v>
                </c:pt>
                <c:pt idx="85">
                  <c:v>0.93199462309318171</c:v>
                </c:pt>
                <c:pt idx="86">
                  <c:v>0.92719226220499396</c:v>
                </c:pt>
                <c:pt idx="87">
                  <c:v>0.9224045379104221</c:v>
                </c:pt>
                <c:pt idx="88">
                  <c:v>0.91762643445371772</c:v>
                </c:pt>
                <c:pt idx="89">
                  <c:v>0.91285314047662625</c:v>
                </c:pt>
                <c:pt idx="90">
                  <c:v>0.90808004282972132</c:v>
                </c:pt>
                <c:pt idx="91">
                  <c:v>0.90330272111758625</c:v>
                </c:pt>
                <c:pt idx="92">
                  <c:v>0.89851694292524809</c:v>
                </c:pt>
                <c:pt idx="93">
                  <c:v>0.89371865967551323</c:v>
                </c:pt>
                <c:pt idx="94">
                  <c:v>0.88890400306882367</c:v>
                </c:pt>
                <c:pt idx="95">
                  <c:v>0.88406928205893298</c:v>
                </c:pt>
                <c:pt idx="96">
                  <c:v>0.87921098031912559</c:v>
                </c:pt>
                <c:pt idx="97">
                  <c:v>0.87432575415493474</c:v>
                </c:pt>
                <c:pt idx="98">
                  <c:v>0.86941043082032743</c:v>
                </c:pt>
                <c:pt idx="99">
                  <c:v>0.86446200719522803</c:v>
                </c:pt>
                <c:pt idx="100">
                  <c:v>0.85947764878298083</c:v>
                </c:pt>
                <c:pt idx="101">
                  <c:v>0.85445468898701904</c:v>
                </c:pt>
                <c:pt idx="102">
                  <c:v>0.84939062862659631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69-433F-A09A-CDF4D4B07105}"/>
            </c:ext>
          </c:extLst>
        </c:ser>
        <c:ser>
          <c:idx val="1"/>
          <c:order val="1"/>
          <c:tx>
            <c:strRef>
              <c:f>GainCurve!$D$7</c:f>
              <c:strCache>
                <c:ptCount val="1"/>
                <c:pt idx="0">
                  <c:v>80% load</c:v>
                </c:pt>
              </c:strCache>
            </c:strRef>
          </c:tx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GainCurve!$D$8:$D$110</c:f>
              <c:numCache>
                <c:formatCode>0.00</c:formatCode>
                <c:ptCount val="103"/>
                <c:pt idx="0">
                  <c:v>1.3771334571820821</c:v>
                </c:pt>
                <c:pt idx="1">
                  <c:v>1.4714289893135293</c:v>
                </c:pt>
                <c:pt idx="2">
                  <c:v>1.5712807705229528</c:v>
                </c:pt>
                <c:pt idx="3">
                  <c:v>1.6759390509511811</c:v>
                </c:pt>
                <c:pt idx="4">
                  <c:v>1.7841273061486944</c:v>
                </c:pt>
                <c:pt idx="5">
                  <c:v>1.8939213511026924</c:v>
                </c:pt>
                <c:pt idx="6">
                  <c:v>2.002670765247843</c:v>
                </c:pt>
                <c:pt idx="7">
                  <c:v>2.1070143996940578</c:v>
                </c:pt>
                <c:pt idx="8">
                  <c:v>2.2030465494370404</c:v>
                </c:pt>
                <c:pt idx="9">
                  <c:v>2.2866690181498996</c:v>
                </c:pt>
                <c:pt idx="10">
                  <c:v>2.3541072383035222</c:v>
                </c:pt>
                <c:pt idx="11">
                  <c:v>2.4024882456699181</c:v>
                </c:pt>
                <c:pt idx="12">
                  <c:v>2.4303165456446578</c:v>
                </c:pt>
                <c:pt idx="13">
                  <c:v>2.4376907399203662</c:v>
                </c:pt>
                <c:pt idx="14">
                  <c:v>2.4261927078396734</c:v>
                </c:pt>
                <c:pt idx="15">
                  <c:v>2.3985057787328188</c:v>
                </c:pt>
                <c:pt idx="16">
                  <c:v>2.3579053426253891</c:v>
                </c:pt>
                <c:pt idx="17">
                  <c:v>2.307774166814212</c:v>
                </c:pt>
                <c:pt idx="18">
                  <c:v>2.251241557756559</c:v>
                </c:pt>
                <c:pt idx="19">
                  <c:v>2.1909759729346727</c:v>
                </c:pt>
                <c:pt idx="20">
                  <c:v>2.1291102799325907</c:v>
                </c:pt>
                <c:pt idx="21">
                  <c:v>2.0672576783588252</c:v>
                </c:pt>
                <c:pt idx="22">
                  <c:v>2.0065768697259805</c:v>
                </c:pt>
                <c:pt idx="23">
                  <c:v>1.9478555985518491</c:v>
                </c:pt>
                <c:pt idx="24">
                  <c:v>1.8915936641209945</c:v>
                </c:pt>
                <c:pt idx="25">
                  <c:v>1.8380759743502717</c:v>
                </c:pt>
                <c:pt idx="26">
                  <c:v>1.7874323565750385</c:v>
                </c:pt>
                <c:pt idx="27">
                  <c:v>1.7396842327176494</c:v>
                </c:pt>
                <c:pt idx="28">
                  <c:v>1.6947798150845808</c:v>
                </c:pt>
                <c:pt idx="29">
                  <c:v>1.6526199576557055</c:v>
                </c:pt>
                <c:pt idx="30">
                  <c:v>1.6130767349256838</c:v>
                </c:pt>
                <c:pt idx="31">
                  <c:v>1.5760065315597844</c:v>
                </c:pt>
                <c:pt idx="32">
                  <c:v>1.5412590794458407</c:v>
                </c:pt>
                <c:pt idx="33">
                  <c:v>1.5086835530057778</c:v>
                </c:pt>
                <c:pt idx="34">
                  <c:v>1.4781325587031973</c:v>
                </c:pt>
                <c:pt idx="35">
                  <c:v>1.4494646359590799</c:v>
                </c:pt>
                <c:pt idx="36">
                  <c:v>1.422545718911834</c:v>
                </c:pt>
                <c:pt idx="37">
                  <c:v>1.3972498828114266</c:v>
                </c:pt>
                <c:pt idx="38">
                  <c:v>1.373459606273514</c:v>
                </c:pt>
                <c:pt idx="39">
                  <c:v>1.3510657132157575</c:v>
                </c:pt>
                <c:pt idx="40">
                  <c:v>1.3299671096330414</c:v>
                </c:pt>
                <c:pt idx="41">
                  <c:v>1.3100703954615285</c:v>
                </c:pt>
                <c:pt idx="42">
                  <c:v>1.2912894068784719</c:v>
                </c:pt>
                <c:pt idx="43">
                  <c:v>1.2735447267047704</c:v>
                </c:pt>
                <c:pt idx="44">
                  <c:v>1.2567631880864036</c:v>
                </c:pt>
                <c:pt idx="45">
                  <c:v>1.2408773878536081</c:v>
                </c:pt>
                <c:pt idx="46">
                  <c:v>1.225825219828655</c:v>
                </c:pt>
                <c:pt idx="47">
                  <c:v>1.2115494341099313</c:v>
                </c:pt>
                <c:pt idx="48">
                  <c:v>1.1979972254537179</c:v>
                </c:pt>
                <c:pt idx="49">
                  <c:v>1.1851198519141384</c:v>
                </c:pt>
                <c:pt idx="50">
                  <c:v>1.1728722836065102</c:v>
                </c:pt>
                <c:pt idx="51">
                  <c:v>1.1612128806304503</c:v>
                </c:pt>
                <c:pt idx="52">
                  <c:v>1.1501030986847771</c:v>
                </c:pt>
                <c:pt idx="53">
                  <c:v>1.1395072206256371</c:v>
                </c:pt>
                <c:pt idx="54">
                  <c:v>1.1293921120909334</c:v>
                </c:pt>
                <c:pt idx="55">
                  <c:v>1.1197269992876353</c:v>
                </c:pt>
                <c:pt idx="56">
                  <c:v>1.1104832670782763</c:v>
                </c:pt>
                <c:pt idx="57">
                  <c:v>1.1016342755841815</c:v>
                </c:pt>
                <c:pt idx="58">
                  <c:v>1.0931551936283561</c:v>
                </c:pt>
                <c:pt idx="59">
                  <c:v>1.0850228474588464</c:v>
                </c:pt>
                <c:pt idx="60">
                  <c:v>1.0772155833155621</c:v>
                </c:pt>
                <c:pt idx="61">
                  <c:v>1.0697131425249811</c:v>
                </c:pt>
                <c:pt idx="62">
                  <c:v>1.0624965479242583</c:v>
                </c:pt>
                <c:pt idx="63">
                  <c:v>1.0555480005271556</c:v>
                </c:pt>
                <c:pt idx="64">
                  <c:v>1.0488507854476761</c:v>
                </c:pt>
                <c:pt idx="65">
                  <c:v>1.0423891861928578</c:v>
                </c:pt>
                <c:pt idx="66">
                  <c:v>1.0361484065238191</c:v>
                </c:pt>
                <c:pt idx="67">
                  <c:v>1.0301144991639648</c:v>
                </c:pt>
                <c:pt idx="68">
                  <c:v>1.0242743007057122</c:v>
                </c:pt>
                <c:pt idx="69">
                  <c:v>1.018615372132583</c:v>
                </c:pt>
                <c:pt idx="70">
                  <c:v>1.0131259444325498</c:v>
                </c:pt>
                <c:pt idx="71">
                  <c:v>1.0077948688316936</c:v>
                </c:pt>
                <c:pt idx="72">
                  <c:v>1.0026115712249761</c:v>
                </c:pt>
                <c:pt idx="73">
                  <c:v>0.99756601042380766</c:v>
                </c:pt>
                <c:pt idx="74">
                  <c:v>0.99264863987855378</c:v>
                </c:pt>
                <c:pt idx="75">
                  <c:v>0.98785037256859798</c:v>
                </c:pt>
                <c:pt idx="76">
                  <c:v>0.98316254878348541</c:v>
                </c:pt>
                <c:pt idx="77">
                  <c:v>0.97857690654635887</c:v>
                </c:pt>
                <c:pt idx="78">
                  <c:v>0.97408555445572242</c:v>
                </c:pt>
                <c:pt idx="79">
                  <c:v>0.96968094674379302</c:v>
                </c:pt>
                <c:pt idx="80">
                  <c:v>0.96535586036964316</c:v>
                </c:pt>
                <c:pt idx="81">
                  <c:v>0.96110337398319157</c:v>
                </c:pt>
                <c:pt idx="82">
                  <c:v>0.95691684861211668</c:v>
                </c:pt>
                <c:pt idx="83">
                  <c:v>0.95278990993811474</c:v>
                </c:pt>
                <c:pt idx="84">
                  <c:v>0.94871643204179801</c:v>
                </c:pt>
                <c:pt idx="85">
                  <c:v>0.9446905225070592</c:v>
                </c:pt>
                <c:pt idx="86">
                  <c:v>0.94070650878605655</c:v>
                </c:pt>
                <c:pt idx="87">
                  <c:v>0.93675892573523301</c:v>
                </c:pt>
                <c:pt idx="88">
                  <c:v>0.93284250424107029</c:v>
                </c:pt>
                <c:pt idx="89">
                  <c:v>0.9289521608616621</c:v>
                </c:pt>
                <c:pt idx="90">
                  <c:v>0.925082988416843</c:v>
                </c:pt>
                <c:pt idx="91">
                  <c:v>0.92123024746545545</c:v>
                </c:pt>
                <c:pt idx="92">
                  <c:v>0.91738935861362036</c:v>
                </c:pt>
                <c:pt idx="93">
                  <c:v>0.91355589560250527</c:v>
                </c:pt>
                <c:pt idx="94">
                  <c:v>0.90972557912819807</c:v>
                </c:pt>
                <c:pt idx="95">
                  <c:v>0.90589427134991696</c:v>
                </c:pt>
                <c:pt idx="96">
                  <c:v>0.90205797104594843</c:v>
                </c:pt>
                <c:pt idx="97">
                  <c:v>0.8982128093794689</c:v>
                </c:pt>
                <c:pt idx="98">
                  <c:v>0.89435504623876672</c:v>
                </c:pt>
                <c:pt idx="99">
                  <c:v>0.89048106711843733</c:v>
                </c:pt>
                <c:pt idx="100">
                  <c:v>0.88658738050981567</c:v>
                </c:pt>
                <c:pt idx="101">
                  <c:v>0.882670615770346</c:v>
                </c:pt>
                <c:pt idx="102">
                  <c:v>0.87872752144274291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69-433F-A09A-CDF4D4B07105}"/>
            </c:ext>
          </c:extLst>
        </c:ser>
        <c:ser>
          <c:idx val="2"/>
          <c:order val="2"/>
          <c:tx>
            <c:strRef>
              <c:f>GainCurve!$E$7</c:f>
              <c:strCache>
                <c:ptCount val="1"/>
                <c:pt idx="0">
                  <c:v>60% load</c:v>
                </c:pt>
              </c:strCache>
            </c:strRef>
          </c:tx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GainCurve!$E$8:$E$110</c:f>
              <c:numCache>
                <c:formatCode>0.00</c:formatCode>
                <c:ptCount val="103"/>
                <c:pt idx="0">
                  <c:v>1.5859064626871553</c:v>
                </c:pt>
                <c:pt idx="1">
                  <c:v>1.7195993589640153</c:v>
                </c:pt>
                <c:pt idx="2">
                  <c:v>1.8662656101060411</c:v>
                </c:pt>
                <c:pt idx="3">
                  <c:v>2.0258455555707373</c:v>
                </c:pt>
                <c:pt idx="4">
                  <c:v>2.1971929341163796</c:v>
                </c:pt>
                <c:pt idx="5">
                  <c:v>2.3774692680653478</c:v>
                </c:pt>
                <c:pt idx="6">
                  <c:v>2.5614632772238197</c:v>
                </c:pt>
                <c:pt idx="7">
                  <c:v>2.7410680431959591</c:v>
                </c:pt>
                <c:pt idx="8">
                  <c:v>2.9053507938402223</c:v>
                </c:pt>
                <c:pt idx="9">
                  <c:v>3.0417333991407864</c:v>
                </c:pt>
                <c:pt idx="10">
                  <c:v>3.1384751828941169</c:v>
                </c:pt>
                <c:pt idx="11">
                  <c:v>3.1878041083177995</c:v>
                </c:pt>
                <c:pt idx="12">
                  <c:v>3.1882203999517635</c:v>
                </c:pt>
                <c:pt idx="13">
                  <c:v>3.1446630178468205</c:v>
                </c:pt>
                <c:pt idx="14">
                  <c:v>3.0665306923397453</c:v>
                </c:pt>
                <c:pt idx="15">
                  <c:v>2.9648080576627027</c:v>
                </c:pt>
                <c:pt idx="16">
                  <c:v>2.8496794735933708</c:v>
                </c:pt>
                <c:pt idx="17">
                  <c:v>2.7292573227616836</c:v>
                </c:pt>
                <c:pt idx="18">
                  <c:v>2.609300912516753</c:v>
                </c:pt>
                <c:pt idx="19">
                  <c:v>2.493505453079838</c:v>
                </c:pt>
                <c:pt idx="20">
                  <c:v>2.3839917749710584</c:v>
                </c:pt>
                <c:pt idx="21">
                  <c:v>2.2817850075568389</c:v>
                </c:pt>
                <c:pt idx="22">
                  <c:v>2.18719901704159</c:v>
                </c:pt>
                <c:pt idx="23">
                  <c:v>2.1001144529084033</c:v>
                </c:pt>
                <c:pt idx="24">
                  <c:v>2.0201669939203426</c:v>
                </c:pt>
                <c:pt idx="25">
                  <c:v>1.9468688691740819</c:v>
                </c:pt>
                <c:pt idx="26">
                  <c:v>1.879684198340869</c:v>
                </c:pt>
                <c:pt idx="27">
                  <c:v>1.818073774335828</c:v>
                </c:pt>
                <c:pt idx="28">
                  <c:v>1.7615202615561381</c:v>
                </c:pt>
                <c:pt idx="29">
                  <c:v>1.7095411676084811</c:v>
                </c:pt>
                <c:pt idx="30">
                  <c:v>1.6616943777656008</c:v>
                </c:pt>
                <c:pt idx="31">
                  <c:v>1.6175793045126421</c:v>
                </c:pt>
                <c:pt idx="32">
                  <c:v>1.5768355646658219</c:v>
                </c:pt>
                <c:pt idx="33">
                  <c:v>1.5391403627754909</c:v>
                </c:pt>
                <c:pt idx="34">
                  <c:v>1.504205293558861</c:v>
                </c:pt>
                <c:pt idx="35">
                  <c:v>1.4717729834128019</c:v>
                </c:pt>
                <c:pt idx="36">
                  <c:v>1.4416138091061326</c:v>
                </c:pt>
                <c:pt idx="37">
                  <c:v>1.4135228199821139</c:v>
                </c:pt>
                <c:pt idx="38">
                  <c:v>1.3873169224134487</c:v>
                </c:pt>
                <c:pt idx="39">
                  <c:v>1.3628323452989435</c:v>
                </c:pt>
                <c:pt idx="40">
                  <c:v>1.3399223825975501</c:v>
                </c:pt>
                <c:pt idx="41">
                  <c:v>1.3184553966536414</c:v>
                </c:pt>
                <c:pt idx="42">
                  <c:v>1.2983130602238688</c:v>
                </c:pt>
                <c:pt idx="43">
                  <c:v>1.2793888130714273</c:v>
                </c:pt>
                <c:pt idx="44">
                  <c:v>1.2615865091309146</c:v>
                </c:pt>
                <c:pt idx="45">
                  <c:v>1.2448192315688462</c:v>
                </c:pt>
                <c:pt idx="46">
                  <c:v>1.2290082549641275</c:v>
                </c:pt>
                <c:pt idx="47">
                  <c:v>1.2140821359472302</c:v>
                </c:pt>
                <c:pt idx="48">
                  <c:v>1.1999759157569081</c:v>
                </c:pt>
                <c:pt idx="49">
                  <c:v>1.1866304201843734</c:v>
                </c:pt>
                <c:pt idx="50">
                  <c:v>1.1739916442199716</c:v>
                </c:pt>
                <c:pt idx="51">
                  <c:v>1.162010210374208</c:v>
                </c:pt>
                <c:pt idx="52">
                  <c:v>1.1506408911115757</c:v>
                </c:pt>
                <c:pt idx="53">
                  <c:v>1.1398421871209603</c:v>
                </c:pt>
                <c:pt idx="54">
                  <c:v>1.1295759542652177</c:v>
                </c:pt>
                <c:pt idx="55">
                  <c:v>1.1198070730218204</c:v>
                </c:pt>
                <c:pt idx="56">
                  <c:v>1.1105031550635092</c:v>
                </c:pt>
                <c:pt idx="57">
                  <c:v>1.1016342823492711</c:v>
                </c:pt>
                <c:pt idx="58">
                  <c:v>1.0931727747168283</c:v>
                </c:pt>
                <c:pt idx="59">
                  <c:v>1.0850929825019997</c:v>
                </c:pt>
                <c:pt idx="60">
                  <c:v>1.0773711011696676</c:v>
                </c:pt>
                <c:pt idx="61">
                  <c:v>1.0699850053364279</c:v>
                </c:pt>
                <c:pt idx="62">
                  <c:v>1.0629140999052911</c:v>
                </c:pt>
                <c:pt idx="63">
                  <c:v>1.0561391863260514</c:v>
                </c:pt>
                <c:pt idx="64">
                  <c:v>1.0496423422478647</c:v>
                </c:pt>
                <c:pt idx="65">
                  <c:v>1.0434068130489551</c:v>
                </c:pt>
                <c:pt idx="66">
                  <c:v>1.0374169139172296</c:v>
                </c:pt>
                <c:pt idx="67">
                  <c:v>1.0316579413190343</c:v>
                </c:pt>
                <c:pt idx="68">
                  <c:v>1.0261160928350541</c:v>
                </c:pt>
                <c:pt idx="69">
                  <c:v>1.0207783944654236</c:v>
                </c:pt>
                <c:pt idx="70">
                  <c:v>1.0156326346131419</c:v>
                </c:pt>
                <c:pt idx="71">
                  <c:v>1.0106673040481131</c:v>
                </c:pt>
                <c:pt idx="72">
                  <c:v>1.0058715412354344</c:v>
                </c:pt>
                <c:pt idx="73">
                  <c:v>1.0012350824826017</c:v>
                </c:pt>
                <c:pt idx="74">
                  <c:v>0.99674821642246825</c:v>
                </c:pt>
                <c:pt idx="75">
                  <c:v>0.99240174240326773</c:v>
                </c:pt>
                <c:pt idx="76">
                  <c:v>0.98818693240485744</c:v>
                </c:pt>
                <c:pt idx="77">
                  <c:v>0.98409549614236147</c:v>
                </c:pt>
                <c:pt idx="78">
                  <c:v>0.98011954905544607</c:v>
                </c:pt>
                <c:pt idx="79">
                  <c:v>0.97625158291409342</c:v>
                </c:pt>
                <c:pt idx="80">
                  <c:v>0.9724844388005992</c:v>
                </c:pt>
                <c:pt idx="81">
                  <c:v>0.96881128225302449</c:v>
                </c:pt>
                <c:pt idx="82">
                  <c:v>0.96522558037794903</c:v>
                </c:pt>
                <c:pt idx="83">
                  <c:v>0.96172108076041884</c:v>
                </c:pt>
                <c:pt idx="84">
                  <c:v>0.95829179201681314</c:v>
                </c:pt>
                <c:pt idx="85">
                  <c:v>0.95493196585221074</c:v>
                </c:pt>
                <c:pt idx="86">
                  <c:v>0.95163608049796455</c:v>
                </c:pt>
                <c:pt idx="87">
                  <c:v>0.94839882541780374</c:v>
                </c:pt>
                <c:pt idx="88">
                  <c:v>0.9452150871820485</c:v>
                </c:pt>
                <c:pt idx="89">
                  <c:v>0.94207993641958609</c:v>
                </c:pt>
                <c:pt idx="90">
                  <c:v>0.93898861576630321</c:v>
                </c:pt>
                <c:pt idx="91">
                  <c:v>0.9359365287367255</c:v>
                </c:pt>
                <c:pt idx="92">
                  <c:v>0.93291922945289929</c:v>
                </c:pt>
                <c:pt idx="93">
                  <c:v>0.92993241317105402</c:v>
                </c:pt>
                <c:pt idx="94">
                  <c:v>0.92697190755243875</c:v>
                </c:pt>
                <c:pt idx="95">
                  <c:v>0.92403366462999514</c:v>
                </c:pt>
                <c:pt idx="96">
                  <c:v>0.92111375342725343</c:v>
                </c:pt>
                <c:pt idx="97">
                  <c:v>0.91820835319010674</c:v>
                </c:pt>
                <c:pt idx="98">
                  <c:v>0.91531374719591008</c:v>
                </c:pt>
                <c:pt idx="99">
                  <c:v>0.91242631710782685</c:v>
                </c:pt>
                <c:pt idx="100">
                  <c:v>0.90954253784537642</c:v>
                </c:pt>
                <c:pt idx="101">
                  <c:v>0.9066589729449186</c:v>
                </c:pt>
                <c:pt idx="102">
                  <c:v>0.90377227038624908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69-433F-A09A-CDF4D4B07105}"/>
            </c:ext>
          </c:extLst>
        </c:ser>
        <c:ser>
          <c:idx val="3"/>
          <c:order val="3"/>
          <c:tx>
            <c:strRef>
              <c:f>GainCurve!$F$7</c:f>
              <c:strCache>
                <c:ptCount val="1"/>
                <c:pt idx="0">
                  <c:v>40% load</c:v>
                </c:pt>
              </c:strCache>
            </c:strRef>
          </c:tx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GainCurve!$F$8:$F$110</c:f>
              <c:numCache>
                <c:formatCode>0.00</c:formatCode>
                <c:ptCount val="103"/>
                <c:pt idx="0">
                  <c:v>1.8108238918363144</c:v>
                </c:pt>
                <c:pt idx="1">
                  <c:v>2.0006985003880757</c:v>
                </c:pt>
                <c:pt idx="2">
                  <c:v>2.2201216983404186</c:v>
                </c:pt>
                <c:pt idx="3">
                  <c:v>2.4738499396988392</c:v>
                </c:pt>
                <c:pt idx="4">
                  <c:v>2.7660831829244312</c:v>
                </c:pt>
                <c:pt idx="5">
                  <c:v>3.0986124282219718</c:v>
                </c:pt>
                <c:pt idx="6">
                  <c:v>3.4671887063993312</c:v>
                </c:pt>
                <c:pt idx="7">
                  <c:v>3.8555988865045316</c:v>
                </c:pt>
                <c:pt idx="8">
                  <c:v>4.2289051599807754</c:v>
                </c:pt>
                <c:pt idx="9">
                  <c:v>4.5323321240629655</c:v>
                </c:pt>
                <c:pt idx="10">
                  <c:v>4.7062802225569245</c:v>
                </c:pt>
                <c:pt idx="11">
                  <c:v>4.7170376598000638</c:v>
                </c:pt>
                <c:pt idx="12">
                  <c:v>4.5778856500657952</c:v>
                </c:pt>
                <c:pt idx="13">
                  <c:v>4.3375234468598718</c:v>
                </c:pt>
                <c:pt idx="14">
                  <c:v>4.0503446255819009</c:v>
                </c:pt>
                <c:pt idx="15">
                  <c:v>3.7565751615321981</c:v>
                </c:pt>
                <c:pt idx="16">
                  <c:v>3.4788922097773121</c:v>
                </c:pt>
                <c:pt idx="17">
                  <c:v>3.2270884907203237</c:v>
                </c:pt>
                <c:pt idx="18">
                  <c:v>3.0035309678059132</c:v>
                </c:pt>
                <c:pt idx="19">
                  <c:v>2.8069684822060577</c:v>
                </c:pt>
                <c:pt idx="20">
                  <c:v>2.6346948611195207</c:v>
                </c:pt>
                <c:pt idx="21">
                  <c:v>2.4836374589095791</c:v>
                </c:pt>
                <c:pt idx="22">
                  <c:v>2.35084941918924</c:v>
                </c:pt>
                <c:pt idx="23">
                  <c:v>2.2336993918141221</c:v>
                </c:pt>
                <c:pt idx="24">
                  <c:v>2.1299179166003777</c:v>
                </c:pt>
                <c:pt idx="25">
                  <c:v>2.0375812604605965</c:v>
                </c:pt>
                <c:pt idx="26">
                  <c:v>1.9550718466101915</c:v>
                </c:pt>
                <c:pt idx="27">
                  <c:v>1.8810333392482683</c:v>
                </c:pt>
                <c:pt idx="28">
                  <c:v>1.8143281147624928</c:v>
                </c:pt>
                <c:pt idx="29">
                  <c:v>1.75399993560505</c:v>
                </c:pt>
                <c:pt idx="30">
                  <c:v>1.6992424019517538</c:v>
                </c:pt>
                <c:pt idx="31">
                  <c:v>1.6493728102382743</c:v>
                </c:pt>
                <c:pt idx="32">
                  <c:v>1.6038107134131299</c:v>
                </c:pt>
                <c:pt idx="33">
                  <c:v>1.5620604205311084</c:v>
                </c:pt>
                <c:pt idx="34">
                  <c:v>1.5236967315261125</c:v>
                </c:pt>
                <c:pt idx="35">
                  <c:v>1.4883533005012024</c:v>
                </c:pt>
                <c:pt idx="36">
                  <c:v>1.4557131233605018</c:v>
                </c:pt>
                <c:pt idx="37">
                  <c:v>1.4255007390013046</c:v>
                </c:pt>
                <c:pt idx="38">
                  <c:v>1.3974758130162088</c:v>
                </c:pt>
                <c:pt idx="39">
                  <c:v>1.371427838614327</c:v>
                </c:pt>
                <c:pt idx="40">
                  <c:v>1.3471717426659033</c:v>
                </c:pt>
                <c:pt idx="41">
                  <c:v>1.3245442273380983</c:v>
                </c:pt>
                <c:pt idx="42">
                  <c:v>1.3034007116469777</c:v>
                </c:pt>
                <c:pt idx="43">
                  <c:v>1.2836127641112851</c:v>
                </c:pt>
                <c:pt idx="44">
                  <c:v>1.2650659389917129</c:v>
                </c:pt>
                <c:pt idx="45">
                  <c:v>1.2476579455017778</c:v>
                </c:pt>
                <c:pt idx="46">
                  <c:v>1.2312970928150246</c:v>
                </c:pt>
                <c:pt idx="47">
                  <c:v>1.2159009644047307</c:v>
                </c:pt>
                <c:pt idx="48">
                  <c:v>1.2013952838151623</c:v>
                </c:pt>
                <c:pt idx="49">
                  <c:v>1.1877129408310718</c:v>
                </c:pt>
                <c:pt idx="50">
                  <c:v>1.1747931525391271</c:v>
                </c:pt>
                <c:pt idx="51">
                  <c:v>1.162580738238854</c:v>
                </c:pt>
                <c:pt idx="52">
                  <c:v>1.1510254907791344</c:v>
                </c:pt>
                <c:pt idx="53">
                  <c:v>1.1400816298400354</c:v>
                </c:pt>
                <c:pt idx="54">
                  <c:v>1.1297073250833565</c:v>
                </c:pt>
                <c:pt idx="55">
                  <c:v>1.1198642790649307</c:v>
                </c:pt>
                <c:pt idx="56">
                  <c:v>1.1105173614214727</c:v>
                </c:pt>
                <c:pt idx="57">
                  <c:v>1.1016342871814779</c:v>
                </c:pt>
                <c:pt idx="58">
                  <c:v>1.0931853331565236</c:v>
                </c:pt>
                <c:pt idx="59">
                  <c:v>1.0851430872890064</c:v>
                </c:pt>
                <c:pt idx="60">
                  <c:v>1.0774822265988837</c:v>
                </c:pt>
                <c:pt idx="61">
                  <c:v>1.0701793200130476</c:v>
                </c:pt>
                <c:pt idx="62">
                  <c:v>1.0632126528986607</c:v>
                </c:pt>
                <c:pt idx="63">
                  <c:v>1.0565620705741829</c:v>
                </c:pt>
                <c:pt idx="64">
                  <c:v>1.0502088384536115</c:v>
                </c:pt>
                <c:pt idx="65">
                  <c:v>1.0441355168025017</c:v>
                </c:pt>
                <c:pt idx="66">
                  <c:v>1.0383258483585276</c:v>
                </c:pt>
                <c:pt idx="67">
                  <c:v>1.0327646573026332</c:v>
                </c:pt>
                <c:pt idx="68">
                  <c:v>1.0274377582658647</c:v>
                </c:pt>
                <c:pt idx="69">
                  <c:v>1.0223318742272454</c:v>
                </c:pt>
                <c:pt idx="70">
                  <c:v>1.0174345623040213</c:v>
                </c:pt>
                <c:pt idx="71">
                  <c:v>1.0127341465611353</c:v>
                </c:pt>
                <c:pt idx="72">
                  <c:v>1.0082196570748756</c:v>
                </c:pt>
                <c:pt idx="73">
                  <c:v>1.0038807745790468</c:v>
                </c:pt>
                <c:pt idx="74">
                  <c:v>0.99970778010281958</c:v>
                </c:pt>
                <c:pt idx="75">
                  <c:v>0.99569150907951398</c:v>
                </c:pt>
                <c:pt idx="76">
                  <c:v>0.99182330946652097</c:v>
                </c:pt>
                <c:pt idx="77">
                  <c:v>0.98809500346963075</c:v>
                </c:pt>
                <c:pt idx="78">
                  <c:v>0.98449885251137947</c:v>
                </c:pt>
                <c:pt idx="79">
                  <c:v>0.9810275251235212</c:v>
                </c:pt>
                <c:pt idx="80">
                  <c:v>0.97767406747925412</c:v>
                </c:pt>
                <c:pt idx="81">
                  <c:v>0.9744318763119757</c:v>
                </c:pt>
                <c:pt idx="82">
                  <c:v>0.97129467399476443</c:v>
                </c:pt>
                <c:pt idx="83">
                  <c:v>0.96825648557891941</c:v>
                </c:pt>
                <c:pt idx="84">
                  <c:v>0.96531161761121842</c:v>
                </c:pt>
                <c:pt idx="85">
                  <c:v>0.96245463856839564</c:v>
                </c:pt>
                <c:pt idx="86">
                  <c:v>0.95968036076402774</c:v>
                </c:pt>
                <c:pt idx="87">
                  <c:v>0.95698382359783374</c:v>
                </c:pt>
                <c:pt idx="88">
                  <c:v>0.95436027803055234</c:v>
                </c:pt>
                <c:pt idx="89">
                  <c:v>0.95180517217926763</c:v>
                </c:pt>
                <c:pt idx="90">
                  <c:v>0.9493141379385166</c:v>
                </c:pt>
                <c:pt idx="91">
                  <c:v>0.94688297854181913</c:v>
                </c:pt>
                <c:pt idx="92">
                  <c:v>0.94450765698662742</c:v>
                </c:pt>
                <c:pt idx="93">
                  <c:v>0.94218428525316822</c:v>
                </c:pt>
                <c:pt idx="94">
                  <c:v>0.93990911425434953</c:v>
                </c:pt>
                <c:pt idx="95">
                  <c:v>0.9376785244599426</c:v>
                </c:pt>
                <c:pt idx="96">
                  <c:v>0.93548901714367172</c:v>
                </c:pt>
                <c:pt idx="97">
                  <c:v>0.93333720620674721</c:v>
                </c:pt>
                <c:pt idx="98">
                  <c:v>0.93121981053577707</c:v>
                </c:pt>
                <c:pt idx="99">
                  <c:v>0.92913364685702116</c:v>
                </c:pt>
                <c:pt idx="100">
                  <c:v>0.92707562305254854</c:v>
                </c:pt>
                <c:pt idx="101">
                  <c:v>0.9250427319071558</c:v>
                </c:pt>
                <c:pt idx="102">
                  <c:v>0.92303204525789528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B69-433F-A09A-CDF4D4B07105}"/>
            </c:ext>
          </c:extLst>
        </c:ser>
        <c:ser>
          <c:idx val="4"/>
          <c:order val="4"/>
          <c:tx>
            <c:strRef>
              <c:f>GainCurve!$G$7</c:f>
              <c:strCache>
                <c:ptCount val="1"/>
                <c:pt idx="0">
                  <c:v>20% load</c:v>
                </c:pt>
              </c:strCache>
            </c:strRef>
          </c:tx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GainCurve!$G$8:$G$110</c:f>
              <c:numCache>
                <c:formatCode>0.00</c:formatCode>
                <c:ptCount val="103"/>
                <c:pt idx="0">
                  <c:v>2.0024761917072862</c:v>
                </c:pt>
                <c:pt idx="1">
                  <c:v>2.254094486671486</c:v>
                </c:pt>
                <c:pt idx="2">
                  <c:v>2.5620358414605304</c:v>
                </c:pt>
                <c:pt idx="3">
                  <c:v>2.9457195074090476</c:v>
                </c:pt>
                <c:pt idx="4">
                  <c:v>3.4333423790739723</c:v>
                </c:pt>
                <c:pt idx="5">
                  <c:v>4.0658458483842166</c:v>
                </c:pt>
                <c:pt idx="6">
                  <c:v>4.9000864069235686</c:v>
                </c:pt>
                <c:pt idx="7">
                  <c:v>6.0004098085103772</c:v>
                </c:pt>
                <c:pt idx="8">
                  <c:v>7.3748723706765711</c:v>
                </c:pt>
                <c:pt idx="9">
                  <c:v>8.7573784198607054</c:v>
                </c:pt>
                <c:pt idx="10">
                  <c:v>9.3971339544552759</c:v>
                </c:pt>
                <c:pt idx="11">
                  <c:v>8.8162262732818419</c:v>
                </c:pt>
                <c:pt idx="12">
                  <c:v>7.5986558716462804</c:v>
                </c:pt>
                <c:pt idx="13">
                  <c:v>6.405980078442381</c:v>
                </c:pt>
                <c:pt idx="14">
                  <c:v>5.4453901091888151</c:v>
                </c:pt>
                <c:pt idx="15">
                  <c:v>4.7077137885180722</c:v>
                </c:pt>
                <c:pt idx="16">
                  <c:v>4.1409907903161054</c:v>
                </c:pt>
                <c:pt idx="17">
                  <c:v>3.6989255946775561</c:v>
                </c:pt>
                <c:pt idx="18">
                  <c:v>3.3476048052962599</c:v>
                </c:pt>
                <c:pt idx="19">
                  <c:v>3.0632668127821483</c:v>
                </c:pt>
                <c:pt idx="20">
                  <c:v>2.8292924743465</c:v>
                </c:pt>
                <c:pt idx="21">
                  <c:v>2.633909090723856</c:v>
                </c:pt>
                <c:pt idx="22">
                  <c:v>2.4686297178160874</c:v>
                </c:pt>
                <c:pt idx="23">
                  <c:v>2.3272218859436009</c:v>
                </c:pt>
                <c:pt idx="24">
                  <c:v>2.2050258427459606</c:v>
                </c:pt>
                <c:pt idx="25">
                  <c:v>2.0984986563020338</c:v>
                </c:pt>
                <c:pt idx="26">
                  <c:v>2.0049045217906096</c:v>
                </c:pt>
                <c:pt idx="27">
                  <c:v>1.9221007703035988</c:v>
                </c:pt>
                <c:pt idx="28">
                  <c:v>1.8483874688323194</c:v>
                </c:pt>
                <c:pt idx="29">
                  <c:v>1.7823999692648997</c:v>
                </c:pt>
                <c:pt idx="30">
                  <c:v>1.7230309448472818</c:v>
                </c:pt>
                <c:pt idx="31">
                  <c:v>1.6693729970663673</c:v>
                </c:pt>
                <c:pt idx="32">
                  <c:v>1.6206758320832542</c:v>
                </c:pt>
                <c:pt idx="33">
                  <c:v>1.5763139054111903</c:v>
                </c:pt>
                <c:pt idx="34">
                  <c:v>1.5357616898920721</c:v>
                </c:pt>
                <c:pt idx="35">
                  <c:v>1.4985745655079519</c:v>
                </c:pt>
                <c:pt idx="36">
                  <c:v>1.464373904097154</c:v>
                </c:pt>
                <c:pt idx="37">
                  <c:v>1.4328353188248097</c:v>
                </c:pt>
                <c:pt idx="38">
                  <c:v>1.4036793258952616</c:v>
                </c:pt>
                <c:pt idx="39">
                  <c:v>1.3766638626889536</c:v>
                </c:pt>
                <c:pt idx="40">
                  <c:v>1.3515782474993028</c:v>
                </c:pt>
                <c:pt idx="41">
                  <c:v>1.3282382682333234</c:v>
                </c:pt>
                <c:pt idx="42">
                  <c:v>1.3064821622798937</c:v>
                </c:pt>
                <c:pt idx="43">
                  <c:v>1.2861673051025841</c:v>
                </c:pt>
                <c:pt idx="44">
                  <c:v>1.2671674664361583</c:v>
                </c:pt>
                <c:pt idx="45">
                  <c:v>1.2493705240857271</c:v>
                </c:pt>
                <c:pt idx="46">
                  <c:v>1.2326765489593146</c:v>
                </c:pt>
                <c:pt idx="47">
                  <c:v>1.216996193051727</c:v>
                </c:pt>
                <c:pt idx="48">
                  <c:v>1.2022493260443319</c:v>
                </c:pt>
                <c:pt idx="49">
                  <c:v>1.1883638770157712</c:v>
                </c:pt>
                <c:pt idx="50">
                  <c:v>1.1752748462255982</c:v>
                </c:pt>
                <c:pt idx="51">
                  <c:v>1.1629234585943655</c:v>
                </c:pt>
                <c:pt idx="52">
                  <c:v>1.1512564357767308</c:v>
                </c:pt>
                <c:pt idx="53">
                  <c:v>1.1402253679221988</c:v>
                </c:pt>
                <c:pt idx="54">
                  <c:v>1.1297861695787754</c:v>
                </c:pt>
                <c:pt idx="55">
                  <c:v>1.1198986068993488</c:v>
                </c:pt>
                <c:pt idx="56">
                  <c:v>1.1105258854979581</c:v>
                </c:pt>
                <c:pt idx="57">
                  <c:v>1.1016342900808023</c:v>
                </c:pt>
                <c:pt idx="58">
                  <c:v>1.0931928684280958</c:v>
                </c:pt>
                <c:pt idx="59">
                  <c:v>1.0851731534930242</c:v>
                </c:pt>
                <c:pt idx="60">
                  <c:v>1.0775489183640081</c:v>
                </c:pt>
                <c:pt idx="61">
                  <c:v>1.0702959596468042</c:v>
                </c:pt>
                <c:pt idx="62">
                  <c:v>1.0633919054954968</c:v>
                </c:pt>
                <c:pt idx="63">
                  <c:v>1.0568160450817417</c:v>
                </c:pt>
                <c:pt idx="64">
                  <c:v>1.050549176760122</c:v>
                </c:pt>
                <c:pt idx="65">
                  <c:v>1.044573472580506</c:v>
                </c:pt>
                <c:pt idx="66">
                  <c:v>1.0388723571291711</c:v>
                </c:pt>
                <c:pt idx="67">
                  <c:v>1.0334303989598679</c:v>
                </c:pt>
                <c:pt idx="68">
                  <c:v>1.0282332131126566</c:v>
                </c:pt>
                <c:pt idx="69">
                  <c:v>1.0232673734194655</c:v>
                </c:pt>
                <c:pt idx="70">
                  <c:v>1.0185203334666126</c:v>
                </c:pt>
                <c:pt idx="71">
                  <c:v>1.0139803552309583</c:v>
                </c:pt>
                <c:pt idx="72">
                  <c:v>1.0096364445317361</c:v>
                </c:pt>
                <c:pt idx="73">
                  <c:v>1.0054782925478438</c:v>
                </c:pt>
                <c:pt idx="74">
                  <c:v>1.0014962227431172</c:v>
                </c:pt>
                <c:pt idx="75">
                  <c:v>0.99768114262217711</c:v>
                </c:pt>
                <c:pt idx="76">
                  <c:v>0.99402449980870078</c:v>
                </c:pt>
                <c:pt idx="77">
                  <c:v>0.99051824199803651</c:v>
                </c:pt>
                <c:pt idx="78">
                  <c:v>0.98715478038828153</c:v>
                </c:pt>
                <c:pt idx="79">
                  <c:v>0.98392695623940196</c:v>
                </c:pt>
                <c:pt idx="80">
                  <c:v>0.98082801024965582</c:v>
                </c:pt>
                <c:pt idx="81">
                  <c:v>0.97785155447327587</c:v>
                </c:pt>
                <c:pt idx="82">
                  <c:v>0.97499154653377129</c:v>
                </c:pt>
                <c:pt idx="83">
                  <c:v>0.97224226591389273</c:v>
                </c:pt>
                <c:pt idx="84">
                  <c:v>0.96959829212678417</c:v>
                </c:pt>
                <c:pt idx="85">
                  <c:v>0.96705448459352339</c:v>
                </c:pt>
                <c:pt idx="86">
                  <c:v>0.96460596407050325</c:v>
                </c:pt>
                <c:pt idx="87">
                  <c:v>0.96224809548625001</c:v>
                </c:pt>
                <c:pt idx="88">
                  <c:v>0.95997647206156389</c:v>
                </c:pt>
                <c:pt idx="89">
                  <c:v>0.95778690059953508</c:v>
                </c:pt>
                <c:pt idx="90">
                  <c:v>0.95567538784327488</c:v>
                </c:pt>
                <c:pt idx="91">
                  <c:v>0.95363812780918822</c:v>
                </c:pt>
                <c:pt idx="92">
                  <c:v>0.95167149001257312</c:v>
                </c:pt>
                <c:pt idx="93">
                  <c:v>0.94977200851028565</c:v>
                </c:pt>
                <c:pt idx="94">
                  <c:v>0.94793637169233269</c:v>
                </c:pt>
                <c:pt idx="95">
                  <c:v>0.94616141276063548</c:v>
                </c:pt>
                <c:pt idx="96">
                  <c:v>0.94444410083890518</c:v>
                </c:pt>
                <c:pt idx="97">
                  <c:v>0.94278153266272158</c:v>
                </c:pt>
                <c:pt idx="98">
                  <c:v>0.9411709248034732</c:v>
                </c:pt>
                <c:pt idx="99">
                  <c:v>0.93960960638401181</c:v>
                </c:pt>
                <c:pt idx="100">
                  <c:v>0.93809501224756464</c:v>
                </c:pt>
                <c:pt idx="101">
                  <c:v>0.93662467654484027</c:v>
                </c:pt>
                <c:pt idx="102">
                  <c:v>0.93519622670730185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B69-433F-A09A-CDF4D4B07105}"/>
            </c:ext>
          </c:extLst>
        </c:ser>
        <c:ser>
          <c:idx val="5"/>
          <c:order val="5"/>
          <c:tx>
            <c:v>Min.Gain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GainCurve!$H$8:$H$110</c:f>
              <c:numCache>
                <c:formatCode>General</c:formatCode>
                <c:ptCount val="103"/>
                <c:pt idx="0">
                  <c:v>1.131</c:v>
                </c:pt>
                <c:pt idx="1">
                  <c:v>1.131</c:v>
                </c:pt>
                <c:pt idx="2">
                  <c:v>1.131</c:v>
                </c:pt>
                <c:pt idx="3">
                  <c:v>1.131</c:v>
                </c:pt>
                <c:pt idx="4">
                  <c:v>1.131</c:v>
                </c:pt>
                <c:pt idx="5">
                  <c:v>1.131</c:v>
                </c:pt>
                <c:pt idx="6">
                  <c:v>1.131</c:v>
                </c:pt>
                <c:pt idx="7">
                  <c:v>1.131</c:v>
                </c:pt>
                <c:pt idx="8">
                  <c:v>1.131</c:v>
                </c:pt>
                <c:pt idx="9">
                  <c:v>1.131</c:v>
                </c:pt>
                <c:pt idx="10">
                  <c:v>1.131</c:v>
                </c:pt>
                <c:pt idx="11">
                  <c:v>1.131</c:v>
                </c:pt>
                <c:pt idx="12">
                  <c:v>1.131</c:v>
                </c:pt>
                <c:pt idx="13">
                  <c:v>1.131</c:v>
                </c:pt>
                <c:pt idx="14">
                  <c:v>1.131</c:v>
                </c:pt>
                <c:pt idx="15">
                  <c:v>1.131</c:v>
                </c:pt>
                <c:pt idx="16">
                  <c:v>1.131</c:v>
                </c:pt>
                <c:pt idx="17">
                  <c:v>1.131</c:v>
                </c:pt>
                <c:pt idx="18">
                  <c:v>1.131</c:v>
                </c:pt>
                <c:pt idx="19">
                  <c:v>1.131</c:v>
                </c:pt>
                <c:pt idx="20">
                  <c:v>1.131</c:v>
                </c:pt>
                <c:pt idx="21">
                  <c:v>1.131</c:v>
                </c:pt>
                <c:pt idx="22">
                  <c:v>1.131</c:v>
                </c:pt>
                <c:pt idx="23">
                  <c:v>1.131</c:v>
                </c:pt>
                <c:pt idx="24">
                  <c:v>1.131</c:v>
                </c:pt>
                <c:pt idx="25">
                  <c:v>1.131</c:v>
                </c:pt>
                <c:pt idx="26">
                  <c:v>1.131</c:v>
                </c:pt>
                <c:pt idx="27">
                  <c:v>1.131</c:v>
                </c:pt>
                <c:pt idx="28">
                  <c:v>1.131</c:v>
                </c:pt>
                <c:pt idx="29">
                  <c:v>1.131</c:v>
                </c:pt>
                <c:pt idx="30">
                  <c:v>1.131</c:v>
                </c:pt>
                <c:pt idx="31">
                  <c:v>1.131</c:v>
                </c:pt>
                <c:pt idx="32">
                  <c:v>1.131</c:v>
                </c:pt>
                <c:pt idx="33">
                  <c:v>1.131</c:v>
                </c:pt>
                <c:pt idx="34">
                  <c:v>1.131</c:v>
                </c:pt>
                <c:pt idx="35">
                  <c:v>1.131</c:v>
                </c:pt>
                <c:pt idx="36">
                  <c:v>1.131</c:v>
                </c:pt>
                <c:pt idx="37">
                  <c:v>1.131</c:v>
                </c:pt>
                <c:pt idx="38">
                  <c:v>1.131</c:v>
                </c:pt>
                <c:pt idx="39">
                  <c:v>1.131</c:v>
                </c:pt>
                <c:pt idx="40">
                  <c:v>1.131</c:v>
                </c:pt>
                <c:pt idx="41">
                  <c:v>1.131</c:v>
                </c:pt>
                <c:pt idx="42">
                  <c:v>1.131</c:v>
                </c:pt>
                <c:pt idx="43">
                  <c:v>1.131</c:v>
                </c:pt>
                <c:pt idx="44">
                  <c:v>1.131</c:v>
                </c:pt>
                <c:pt idx="45">
                  <c:v>1.131</c:v>
                </c:pt>
                <c:pt idx="46">
                  <c:v>1.131</c:v>
                </c:pt>
                <c:pt idx="47">
                  <c:v>1.131</c:v>
                </c:pt>
                <c:pt idx="48">
                  <c:v>1.131</c:v>
                </c:pt>
                <c:pt idx="49">
                  <c:v>1.131</c:v>
                </c:pt>
                <c:pt idx="50">
                  <c:v>1.131</c:v>
                </c:pt>
                <c:pt idx="51">
                  <c:v>1.131</c:v>
                </c:pt>
                <c:pt idx="52">
                  <c:v>1.131</c:v>
                </c:pt>
                <c:pt idx="53">
                  <c:v>1.131</c:v>
                </c:pt>
                <c:pt idx="54">
                  <c:v>1.131</c:v>
                </c:pt>
                <c:pt idx="55">
                  <c:v>1.131</c:v>
                </c:pt>
                <c:pt idx="56">
                  <c:v>1.131</c:v>
                </c:pt>
                <c:pt idx="57">
                  <c:v>1.131</c:v>
                </c:pt>
                <c:pt idx="58">
                  <c:v>1.131</c:v>
                </c:pt>
                <c:pt idx="59">
                  <c:v>1.131</c:v>
                </c:pt>
                <c:pt idx="60">
                  <c:v>1.131</c:v>
                </c:pt>
                <c:pt idx="61">
                  <c:v>1.131</c:v>
                </c:pt>
                <c:pt idx="62">
                  <c:v>1.131</c:v>
                </c:pt>
                <c:pt idx="63">
                  <c:v>1.131</c:v>
                </c:pt>
                <c:pt idx="64">
                  <c:v>1.131</c:v>
                </c:pt>
                <c:pt idx="65">
                  <c:v>1.131</c:v>
                </c:pt>
                <c:pt idx="66">
                  <c:v>1.131</c:v>
                </c:pt>
                <c:pt idx="67">
                  <c:v>1.131</c:v>
                </c:pt>
                <c:pt idx="68">
                  <c:v>1.131</c:v>
                </c:pt>
                <c:pt idx="69">
                  <c:v>1.131</c:v>
                </c:pt>
                <c:pt idx="70">
                  <c:v>1.131</c:v>
                </c:pt>
                <c:pt idx="71">
                  <c:v>1.131</c:v>
                </c:pt>
                <c:pt idx="72">
                  <c:v>1.131</c:v>
                </c:pt>
                <c:pt idx="73">
                  <c:v>1.131</c:v>
                </c:pt>
                <c:pt idx="74">
                  <c:v>1.131</c:v>
                </c:pt>
                <c:pt idx="75">
                  <c:v>1.131</c:v>
                </c:pt>
                <c:pt idx="76">
                  <c:v>1.131</c:v>
                </c:pt>
                <c:pt idx="77">
                  <c:v>1.131</c:v>
                </c:pt>
                <c:pt idx="78">
                  <c:v>1.131</c:v>
                </c:pt>
                <c:pt idx="79">
                  <c:v>1.131</c:v>
                </c:pt>
                <c:pt idx="80">
                  <c:v>1.131</c:v>
                </c:pt>
                <c:pt idx="81">
                  <c:v>1.131</c:v>
                </c:pt>
                <c:pt idx="82">
                  <c:v>1.131</c:v>
                </c:pt>
                <c:pt idx="83">
                  <c:v>1.131</c:v>
                </c:pt>
                <c:pt idx="84">
                  <c:v>1.131</c:v>
                </c:pt>
                <c:pt idx="85">
                  <c:v>1.131</c:v>
                </c:pt>
                <c:pt idx="86">
                  <c:v>1.131</c:v>
                </c:pt>
                <c:pt idx="87">
                  <c:v>1.131</c:v>
                </c:pt>
                <c:pt idx="88">
                  <c:v>1.131</c:v>
                </c:pt>
                <c:pt idx="89">
                  <c:v>1.131</c:v>
                </c:pt>
                <c:pt idx="90">
                  <c:v>1.131</c:v>
                </c:pt>
                <c:pt idx="91">
                  <c:v>1.131</c:v>
                </c:pt>
                <c:pt idx="92">
                  <c:v>1.131</c:v>
                </c:pt>
                <c:pt idx="93">
                  <c:v>1.131</c:v>
                </c:pt>
                <c:pt idx="94">
                  <c:v>1.131</c:v>
                </c:pt>
                <c:pt idx="95">
                  <c:v>1.131</c:v>
                </c:pt>
                <c:pt idx="96">
                  <c:v>1.131</c:v>
                </c:pt>
                <c:pt idx="97">
                  <c:v>1.131</c:v>
                </c:pt>
                <c:pt idx="98">
                  <c:v>1.131</c:v>
                </c:pt>
                <c:pt idx="99">
                  <c:v>1.131</c:v>
                </c:pt>
                <c:pt idx="100">
                  <c:v>1.131</c:v>
                </c:pt>
                <c:pt idx="101">
                  <c:v>1.131</c:v>
                </c:pt>
                <c:pt idx="102">
                  <c:v>1.131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6D-46B9-8F89-AA293267B6C5}"/>
            </c:ext>
          </c:extLst>
        </c:ser>
        <c:ser>
          <c:idx val="6"/>
          <c:order val="6"/>
          <c:tx>
            <c:v>Max.gain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GainCurve!$A$8:$A$110</c:f>
              <c:numCache>
                <c:formatCode>#,##0.00</c:formatCode>
                <c:ptCount val="103"/>
                <c:pt idx="0">
                  <c:v>33.385167577369373</c:v>
                </c:pt>
                <c:pt idx="1">
                  <c:v>34.00584418305197</c:v>
                </c:pt>
                <c:pt idx="2">
                  <c:v>34.638060028366922</c:v>
                </c:pt>
                <c:pt idx="3">
                  <c:v>35.282029643796086</c:v>
                </c:pt>
                <c:pt idx="4">
                  <c:v>35.937971548240753</c:v>
                </c:pt>
                <c:pt idx="5">
                  <c:v>36.60610832317191</c:v>
                </c:pt>
                <c:pt idx="6">
                  <c:v>37.286666688159038</c:v>
                </c:pt>
                <c:pt idx="7">
                  <c:v>37.979877577803116</c:v>
                </c:pt>
                <c:pt idx="8">
                  <c:v>38.685976220099903</c:v>
                </c:pt>
                <c:pt idx="9">
                  <c:v>39.405202216260115</c:v>
                </c:pt>
                <c:pt idx="10">
                  <c:v>40.137799622013553</c:v>
                </c:pt>
                <c:pt idx="11">
                  <c:v>40.884017030424793</c:v>
                </c:pt>
                <c:pt idx="12">
                  <c:v>41.644107656248543</c:v>
                </c:pt>
                <c:pt idx="13">
                  <c:v>42.418329421853279</c:v>
                </c:pt>
                <c:pt idx="14">
                  <c:v>43.206945044742319</c:v>
                </c:pt>
                <c:pt idx="15">
                  <c:v>44.010222126702025</c:v>
                </c:pt>
                <c:pt idx="16">
                  <c:v>44.828433244607425</c:v>
                </c:pt>
                <c:pt idx="17">
                  <c:v>45.661856042915993</c:v>
                </c:pt>
                <c:pt idx="18">
                  <c:v>46.510773327881068</c:v>
                </c:pt>
                <c:pt idx="19">
                  <c:v>47.375473163516773</c:v>
                </c:pt>
                <c:pt idx="20">
                  <c:v>48.256248969347112</c:v>
                </c:pt>
                <c:pt idx="21">
                  <c:v>49.153399619972319</c:v>
                </c:pt>
                <c:pt idx="22">
                  <c:v>50.067229546486303</c:v>
                </c:pt>
                <c:pt idx="23">
                  <c:v>50.998048839779578</c:v>
                </c:pt>
                <c:pt idx="24">
                  <c:v>51.946173355762724</c:v>
                </c:pt>
                <c:pt idx="25">
                  <c:v>52.911924822546133</c:v>
                </c:pt>
                <c:pt idx="26">
                  <c:v>53.895630949612347</c:v>
                </c:pt>
                <c:pt idx="27">
                  <c:v>54.897625539018058</c:v>
                </c:pt>
                <c:pt idx="28">
                  <c:v>55.918248598663538</c:v>
                </c:pt>
                <c:pt idx="29">
                  <c:v>56.95784645766787</c:v>
                </c:pt>
                <c:pt idx="30">
                  <c:v>58.016771883889177</c:v>
                </c:pt>
                <c:pt idx="31">
                  <c:v>59.095384203629735</c:v>
                </c:pt>
                <c:pt idx="32">
                  <c:v>60.19404942356654</c:v>
                </c:pt>
                <c:pt idx="33">
                  <c:v>61.313140354948757</c:v>
                </c:pt>
                <c:pt idx="34">
                  <c:v>62.453036740104139</c:v>
                </c:pt>
                <c:pt idx="35">
                  <c:v>63.614125381297434</c:v>
                </c:pt>
                <c:pt idx="36">
                  <c:v>64.796800271984381</c:v>
                </c:pt>
                <c:pt idx="37">
                  <c:v>66.001462730505949</c:v>
                </c:pt>
                <c:pt idx="38">
                  <c:v>67.228521536268119</c:v>
                </c:pt>
                <c:pt idx="39">
                  <c:v>68.478393068453428</c:v>
                </c:pt>
                <c:pt idx="40">
                  <c:v>69.751501447311398</c:v>
                </c:pt>
                <c:pt idx="41">
                  <c:v>71.048278678075661</c:v>
                </c:pt>
                <c:pt idx="42">
                  <c:v>72.369164797556806</c:v>
                </c:pt>
                <c:pt idx="43">
                  <c:v>73.714608023460514</c:v>
                </c:pt>
                <c:pt idx="44">
                  <c:v>75.08506490648179</c:v>
                </c:pt>
                <c:pt idx="45">
                  <c:v>76.481000485226744</c:v>
                </c:pt>
                <c:pt idx="46">
                  <c:v>77.902888444014692</c:v>
                </c:pt>
                <c:pt idx="47">
                  <c:v>79.351211273613941</c:v>
                </c:pt>
                <c:pt idx="48">
                  <c:v>80.826460434965909</c:v>
                </c:pt>
                <c:pt idx="49">
                  <c:v>82.329136525953089</c:v>
                </c:pt>
                <c:pt idx="50">
                  <c:v>83.859749451267447</c:v>
                </c:pt>
                <c:pt idx="51">
                  <c:v>85.418818595436974</c:v>
                </c:pt>
                <c:pt idx="52">
                  <c:v>87.00687299906896</c:v>
                </c:pt>
                <c:pt idx="53">
                  <c:v>88.624451538369911</c:v>
                </c:pt>
                <c:pt idx="54">
                  <c:v>90.272103108003023</c:v>
                </c:pt>
                <c:pt idx="55">
                  <c:v>91.950386807345154</c:v>
                </c:pt>
                <c:pt idx="56">
                  <c:v>93.659872130206651</c:v>
                </c:pt>
                <c:pt idx="57">
                  <c:v>95.401139158078294</c:v>
                </c:pt>
                <c:pt idx="58">
                  <c:v>97.174778756970937</c:v>
                </c:pt>
                <c:pt idx="59">
                  <c:v>98.981392777914735</c:v>
                </c:pt>
                <c:pt idx="60">
                  <c:v>100.82159426118591</c:v>
                </c:pt>
                <c:pt idx="61">
                  <c:v>102.69600764433034</c:v>
                </c:pt>
                <c:pt idx="62">
                  <c:v>104.60526897405464</c:v>
                </c:pt>
                <c:pt idx="63">
                  <c:v>106.55002612205656</c:v>
                </c:pt>
                <c:pt idx="64">
                  <c:v>108.530939004868</c:v>
                </c:pt>
                <c:pt idx="65">
                  <c:v>110.54867980778519</c:v>
                </c:pt>
                <c:pt idx="66">
                  <c:v>112.60393321296203</c:v>
                </c:pt>
                <c:pt idx="67">
                  <c:v>114.69739663174407</c:v>
                </c:pt>
                <c:pt idx="68">
                  <c:v>116.82978044132177</c:v>
                </c:pt>
                <c:pt idx="69">
                  <c:v>119.00180822578366</c:v>
                </c:pt>
                <c:pt idx="70">
                  <c:v>121.2142170216508</c:v>
                </c:pt>
                <c:pt idx="71">
                  <c:v>123.46775756797625</c:v>
                </c:pt>
                <c:pt idx="72">
                  <c:v>125.76319456109412</c:v>
                </c:pt>
                <c:pt idx="73">
                  <c:v>128.10130691410481</c:v>
                </c:pt>
                <c:pt idx="74">
                  <c:v>130.48288802118446</c:v>
                </c:pt>
                <c:pt idx="75">
                  <c:v>132.90874602680819</c:v>
                </c:pt>
                <c:pt idx="76">
                  <c:v>135.37970409997865</c:v>
                </c:pt>
                <c:pt idx="77">
                  <c:v>137.89660071355289</c:v>
                </c:pt>
                <c:pt idx="78">
                  <c:v>140.46028992876217</c:v>
                </c:pt>
                <c:pt idx="79">
                  <c:v>143.07164168502155</c:v>
                </c:pt>
                <c:pt idx="80">
                  <c:v>145.73154209512734</c:v>
                </c:pt>
                <c:pt idx="81">
                  <c:v>148.44089374594273</c:v>
                </c:pt>
                <c:pt idx="82">
                  <c:v>151.20061600467349</c:v>
                </c:pt>
                <c:pt idx="83">
                  <c:v>154.01164533083789</c:v>
                </c:pt>
                <c:pt idx="84">
                  <c:v>156.87493559403651</c:v>
                </c:pt>
                <c:pt idx="85">
                  <c:v>159.79145839762984</c:v>
                </c:pt>
                <c:pt idx="86">
                  <c:v>162.76220340843344</c:v>
                </c:pt>
                <c:pt idx="87">
                  <c:v>165.78817869254271</c:v>
                </c:pt>
                <c:pt idx="88">
                  <c:v>168.87041105740104</c:v>
                </c:pt>
                <c:pt idx="89">
                  <c:v>172.00994640022742</c:v>
                </c:pt>
                <c:pt idx="90">
                  <c:v>175.20785006292189</c:v>
                </c:pt>
                <c:pt idx="91">
                  <c:v>178.4652071935692</c:v>
                </c:pt>
                <c:pt idx="92">
                  <c:v>181.78312311466323</c:v>
                </c:pt>
                <c:pt idx="93">
                  <c:v>185.16272369817725</c:v>
                </c:pt>
                <c:pt idx="94">
                  <c:v>188.60515574760728</c:v>
                </c:pt>
                <c:pt idx="95">
                  <c:v>192.11158738711819</c:v>
                </c:pt>
                <c:pt idx="96">
                  <c:v>195.68320845792448</c:v>
                </c:pt>
                <c:pt idx="97">
                  <c:v>199.3212309220404</c:v>
                </c:pt>
                <c:pt idx="98">
                  <c:v>203.02688927353628</c:v>
                </c:pt>
                <c:pt idx="99">
                  <c:v>206.8014409574408</c:v>
                </c:pt>
                <c:pt idx="100">
                  <c:v>210.64616679643112</c:v>
                </c:pt>
                <c:pt idx="101">
                  <c:v>214.56237142545581</c:v>
                </c:pt>
                <c:pt idx="102">
                  <c:v>218.55138373443802</c:v>
                </c:pt>
              </c:numCache>
            </c:numRef>
          </c:xVal>
          <c:yVal>
            <c:numRef>
              <c:f>GainCurve!$I$8:$I$110</c:f>
              <c:numCache>
                <c:formatCode>General</c:formatCode>
                <c:ptCount val="103"/>
                <c:pt idx="0">
                  <c:v>1.49292</c:v>
                </c:pt>
                <c:pt idx="1">
                  <c:v>1.49292</c:v>
                </c:pt>
                <c:pt idx="2">
                  <c:v>1.49292</c:v>
                </c:pt>
                <c:pt idx="3">
                  <c:v>1.49292</c:v>
                </c:pt>
                <c:pt idx="4">
                  <c:v>1.49292</c:v>
                </c:pt>
                <c:pt idx="5">
                  <c:v>1.49292</c:v>
                </c:pt>
                <c:pt idx="6">
                  <c:v>1.49292</c:v>
                </c:pt>
                <c:pt idx="7">
                  <c:v>1.49292</c:v>
                </c:pt>
                <c:pt idx="8">
                  <c:v>1.49292</c:v>
                </c:pt>
                <c:pt idx="9">
                  <c:v>1.49292</c:v>
                </c:pt>
                <c:pt idx="10">
                  <c:v>1.49292</c:v>
                </c:pt>
                <c:pt idx="11">
                  <c:v>1.49292</c:v>
                </c:pt>
                <c:pt idx="12">
                  <c:v>1.49292</c:v>
                </c:pt>
                <c:pt idx="13">
                  <c:v>1.49292</c:v>
                </c:pt>
                <c:pt idx="14">
                  <c:v>1.49292</c:v>
                </c:pt>
                <c:pt idx="15">
                  <c:v>1.49292</c:v>
                </c:pt>
                <c:pt idx="16">
                  <c:v>1.49292</c:v>
                </c:pt>
                <c:pt idx="17">
                  <c:v>1.49292</c:v>
                </c:pt>
                <c:pt idx="18">
                  <c:v>1.49292</c:v>
                </c:pt>
                <c:pt idx="19">
                  <c:v>1.49292</c:v>
                </c:pt>
                <c:pt idx="20">
                  <c:v>1.49292</c:v>
                </c:pt>
                <c:pt idx="21">
                  <c:v>1.49292</c:v>
                </c:pt>
                <c:pt idx="22">
                  <c:v>1.49292</c:v>
                </c:pt>
                <c:pt idx="23">
                  <c:v>1.49292</c:v>
                </c:pt>
                <c:pt idx="24">
                  <c:v>1.49292</c:v>
                </c:pt>
                <c:pt idx="25">
                  <c:v>1.49292</c:v>
                </c:pt>
                <c:pt idx="26">
                  <c:v>1.49292</c:v>
                </c:pt>
                <c:pt idx="27">
                  <c:v>1.49292</c:v>
                </c:pt>
                <c:pt idx="28">
                  <c:v>1.49292</c:v>
                </c:pt>
                <c:pt idx="29">
                  <c:v>1.49292</c:v>
                </c:pt>
                <c:pt idx="30">
                  <c:v>1.49292</c:v>
                </c:pt>
                <c:pt idx="31">
                  <c:v>1.49292</c:v>
                </c:pt>
                <c:pt idx="32">
                  <c:v>1.49292</c:v>
                </c:pt>
                <c:pt idx="33">
                  <c:v>1.49292</c:v>
                </c:pt>
                <c:pt idx="34">
                  <c:v>1.49292</c:v>
                </c:pt>
                <c:pt idx="35">
                  <c:v>1.49292</c:v>
                </c:pt>
                <c:pt idx="36">
                  <c:v>1.49292</c:v>
                </c:pt>
                <c:pt idx="37">
                  <c:v>1.49292</c:v>
                </c:pt>
                <c:pt idx="38">
                  <c:v>1.49292</c:v>
                </c:pt>
                <c:pt idx="39">
                  <c:v>1.49292</c:v>
                </c:pt>
                <c:pt idx="40">
                  <c:v>1.49292</c:v>
                </c:pt>
                <c:pt idx="41">
                  <c:v>1.49292</c:v>
                </c:pt>
                <c:pt idx="42">
                  <c:v>1.49292</c:v>
                </c:pt>
                <c:pt idx="43">
                  <c:v>1.49292</c:v>
                </c:pt>
                <c:pt idx="44">
                  <c:v>1.49292</c:v>
                </c:pt>
                <c:pt idx="45">
                  <c:v>1.49292</c:v>
                </c:pt>
                <c:pt idx="46">
                  <c:v>1.49292</c:v>
                </c:pt>
                <c:pt idx="47">
                  <c:v>1.49292</c:v>
                </c:pt>
                <c:pt idx="48">
                  <c:v>1.49292</c:v>
                </c:pt>
                <c:pt idx="49">
                  <c:v>1.49292</c:v>
                </c:pt>
                <c:pt idx="50">
                  <c:v>1.49292</c:v>
                </c:pt>
                <c:pt idx="51">
                  <c:v>1.49292</c:v>
                </c:pt>
                <c:pt idx="52">
                  <c:v>1.49292</c:v>
                </c:pt>
                <c:pt idx="53">
                  <c:v>1.49292</c:v>
                </c:pt>
                <c:pt idx="54">
                  <c:v>1.49292</c:v>
                </c:pt>
                <c:pt idx="55">
                  <c:v>1.49292</c:v>
                </c:pt>
                <c:pt idx="56">
                  <c:v>1.49292</c:v>
                </c:pt>
                <c:pt idx="57">
                  <c:v>1.49292</c:v>
                </c:pt>
                <c:pt idx="58">
                  <c:v>1.49292</c:v>
                </c:pt>
                <c:pt idx="59">
                  <c:v>1.49292</c:v>
                </c:pt>
                <c:pt idx="60">
                  <c:v>1.49292</c:v>
                </c:pt>
                <c:pt idx="61">
                  <c:v>1.49292</c:v>
                </c:pt>
                <c:pt idx="62">
                  <c:v>1.49292</c:v>
                </c:pt>
                <c:pt idx="63">
                  <c:v>1.49292</c:v>
                </c:pt>
                <c:pt idx="64">
                  <c:v>1.49292</c:v>
                </c:pt>
                <c:pt idx="65">
                  <c:v>1.49292</c:v>
                </c:pt>
                <c:pt idx="66">
                  <c:v>1.49292</c:v>
                </c:pt>
                <c:pt idx="67">
                  <c:v>1.49292</c:v>
                </c:pt>
                <c:pt idx="68">
                  <c:v>1.49292</c:v>
                </c:pt>
                <c:pt idx="69">
                  <c:v>1.49292</c:v>
                </c:pt>
                <c:pt idx="70">
                  <c:v>1.49292</c:v>
                </c:pt>
                <c:pt idx="71">
                  <c:v>1.49292</c:v>
                </c:pt>
                <c:pt idx="72">
                  <c:v>1.49292</c:v>
                </c:pt>
                <c:pt idx="73">
                  <c:v>1.49292</c:v>
                </c:pt>
                <c:pt idx="74">
                  <c:v>1.49292</c:v>
                </c:pt>
                <c:pt idx="75">
                  <c:v>1.49292</c:v>
                </c:pt>
                <c:pt idx="76">
                  <c:v>1.49292</c:v>
                </c:pt>
                <c:pt idx="77">
                  <c:v>1.49292</c:v>
                </c:pt>
                <c:pt idx="78">
                  <c:v>1.49292</c:v>
                </c:pt>
                <c:pt idx="79">
                  <c:v>1.49292</c:v>
                </c:pt>
                <c:pt idx="80">
                  <c:v>1.49292</c:v>
                </c:pt>
                <c:pt idx="81">
                  <c:v>1.49292</c:v>
                </c:pt>
                <c:pt idx="82">
                  <c:v>1.49292</c:v>
                </c:pt>
                <c:pt idx="83">
                  <c:v>1.49292</c:v>
                </c:pt>
                <c:pt idx="84">
                  <c:v>1.49292</c:v>
                </c:pt>
                <c:pt idx="85">
                  <c:v>1.49292</c:v>
                </c:pt>
                <c:pt idx="86">
                  <c:v>1.49292</c:v>
                </c:pt>
                <c:pt idx="87">
                  <c:v>1.49292</c:v>
                </c:pt>
                <c:pt idx="88">
                  <c:v>1.49292</c:v>
                </c:pt>
                <c:pt idx="89">
                  <c:v>1.49292</c:v>
                </c:pt>
                <c:pt idx="90">
                  <c:v>1.49292</c:v>
                </c:pt>
                <c:pt idx="91">
                  <c:v>1.49292</c:v>
                </c:pt>
                <c:pt idx="92">
                  <c:v>1.49292</c:v>
                </c:pt>
                <c:pt idx="93">
                  <c:v>1.49292</c:v>
                </c:pt>
                <c:pt idx="94">
                  <c:v>1.49292</c:v>
                </c:pt>
                <c:pt idx="95">
                  <c:v>1.49292</c:v>
                </c:pt>
                <c:pt idx="96">
                  <c:v>1.49292</c:v>
                </c:pt>
                <c:pt idx="97">
                  <c:v>1.49292</c:v>
                </c:pt>
                <c:pt idx="98">
                  <c:v>1.49292</c:v>
                </c:pt>
                <c:pt idx="99">
                  <c:v>1.49292</c:v>
                </c:pt>
                <c:pt idx="100">
                  <c:v>1.49292</c:v>
                </c:pt>
                <c:pt idx="101">
                  <c:v>1.49292</c:v>
                </c:pt>
                <c:pt idx="102">
                  <c:v>1.49292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6D-46B9-8F89-AA293267B6C5}"/>
            </c:ext>
          </c:extLst>
        </c:ser>
        <c:ser>
          <c:idx val="7"/>
          <c:order val="7"/>
          <c:tx>
            <c:v>Min. Freq</c:v>
          </c:tx>
          <c:marker>
            <c:symbol val="none"/>
          </c:marker>
          <c:dPt>
            <c:idx val="1"/>
            <c:bubble3D val="0"/>
            <c:spPr>
              <a:ln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1-BC7E-4FFB-8F33-29FD84305CF9}"/>
              </c:ext>
            </c:extLst>
          </c:dPt>
          <c:xVal>
            <c:numRef>
              <c:f>GainCurve!$L$8:$L$9</c:f>
              <c:numCache>
                <c:formatCode>General</c:formatCode>
                <c:ptCount val="2"/>
                <c:pt idx="0">
                  <c:v>44.010222126702025</c:v>
                </c:pt>
                <c:pt idx="1">
                  <c:v>44.010222126702025</c:v>
                </c:pt>
              </c:numCache>
            </c:numRef>
          </c:xVal>
          <c:yVal>
            <c:numRef>
              <c:f>GainCurve!$M$8:$M$9</c:f>
              <c:numCache>
                <c:formatCode>General</c:formatCode>
                <c:ptCount val="2"/>
                <c:pt idx="0">
                  <c:v>0</c:v>
                </c:pt>
                <c:pt idx="1">
                  <c:v>1.49292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7E-4FFB-8F33-29FD8430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31264"/>
        <c:axId val="167937152"/>
      </c:scatterChart>
      <c:valAx>
        <c:axId val="167931264"/>
        <c:scaling>
          <c:orientation val="minMax"/>
          <c:max val="120"/>
          <c:min val="30"/>
        </c:scaling>
        <c:delete val="0"/>
        <c:axPos val="b"/>
        <c:majorGridlines>
          <c:spPr>
            <a:ln>
              <a:solidFill>
                <a:sysClr val="windowText" lastClr="000000"/>
              </a:solidFill>
              <a:prstDash val="sysDash"/>
            </a:ln>
          </c:spPr>
        </c:majorGridlines>
        <c:minorGridlines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937152"/>
        <c:crosses val="autoZero"/>
        <c:crossBetween val="midCat"/>
        <c:majorUnit val="10"/>
        <c:minorUnit val="5"/>
      </c:valAx>
      <c:valAx>
        <c:axId val="167937152"/>
        <c:scaling>
          <c:orientation val="minMax"/>
          <c:max val="1.7"/>
          <c:min val="0.7000000000000006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931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9925384326959164"/>
          <c:y val="5.2417716791249104E-2"/>
          <c:w val="0.20059149210122321"/>
          <c:h val="0.3759930008748906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ICS_attn_aprox!$C$3</c:f>
              <c:strCache>
                <c:ptCount val="1"/>
                <c:pt idx="0">
                  <c:v>K.ATTN.calculate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ICS_attn_aprox!$A$4:$A$12</c:f>
              <c:numCache>
                <c:formatCode>General</c:formatCode>
                <c:ptCount val="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</c:numCache>
            </c:numRef>
          </c:xVal>
          <c:yVal>
            <c:numRef>
              <c:f>ICS_attn_aprox!$C$4:$C$12</c:f>
              <c:numCache>
                <c:formatCode>General</c:formatCode>
                <c:ptCount val="9"/>
                <c:pt idx="0">
                  <c:v>1</c:v>
                </c:pt>
                <c:pt idx="1">
                  <c:v>0.99647094000000003</c:v>
                </c:pt>
                <c:pt idx="2">
                  <c:v>0.98596784000000004</c:v>
                </c:pt>
                <c:pt idx="3">
                  <c:v>0.96530554000000002</c:v>
                </c:pt>
                <c:pt idx="4">
                  <c:v>0.93276384000000001</c:v>
                </c:pt>
                <c:pt idx="5">
                  <c:v>0.88808750000000003</c:v>
                </c:pt>
                <c:pt idx="6">
                  <c:v>0.83248624000000004</c:v>
                </c:pt>
                <c:pt idx="7">
                  <c:v>0.76863474000000009</c:v>
                </c:pt>
                <c:pt idx="8">
                  <c:v>0.70067264000000007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DD-4AEA-B758-28A248FAB0FD}"/>
            </c:ext>
          </c:extLst>
        </c:ser>
        <c:ser>
          <c:idx val="1"/>
          <c:order val="1"/>
          <c:tx>
            <c:v>Points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layout>
                <c:manualLayout>
                  <c:x val="-7.5518731179980175E-2"/>
                  <c:y val="-0.157127240798217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ICS_attn_aprox!$A$4:$A$12</c:f>
              <c:numCache>
                <c:formatCode>General</c:formatCode>
                <c:ptCount val="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</c:numCache>
            </c:numRef>
          </c:xVal>
          <c:yVal>
            <c:numRef>
              <c:f>ICS_attn_aprox!$B$4:$B$12</c:f>
              <c:numCache>
                <c:formatCode>General</c:formatCode>
                <c:ptCount val="9"/>
                <c:pt idx="0">
                  <c:v>1</c:v>
                </c:pt>
                <c:pt idx="1">
                  <c:v>0.997</c:v>
                </c:pt>
                <c:pt idx="2">
                  <c:v>0.98499999999999999</c:v>
                </c:pt>
                <c:pt idx="3">
                  <c:v>0.96499999999999997</c:v>
                </c:pt>
                <c:pt idx="4">
                  <c:v>0.93500000000000005</c:v>
                </c:pt>
                <c:pt idx="5">
                  <c:v>0.88749999999999996</c:v>
                </c:pt>
                <c:pt idx="6">
                  <c:v>0.83</c:v>
                </c:pt>
                <c:pt idx="7">
                  <c:v>0.77100000000000002</c:v>
                </c:pt>
                <c:pt idx="8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DD-4AEA-B758-28A248FA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511424"/>
        <c:axId val="595511752"/>
      </c:scatterChart>
      <c:valAx>
        <c:axId val="595511424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11752"/>
        <c:crosses val="autoZero"/>
        <c:crossBetween val="midCat"/>
      </c:valAx>
      <c:valAx>
        <c:axId val="595511752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1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57150</xdr:rowOff>
    </xdr:from>
    <xdr:to>
      <xdr:col>4</xdr:col>
      <xdr:colOff>200025</xdr:colOff>
      <xdr:row>66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1337310</xdr:colOff>
      <xdr:row>44</xdr:row>
      <xdr:rowOff>165735</xdr:rowOff>
    </xdr:from>
    <xdr:to>
      <xdr:col>1</xdr:col>
      <xdr:colOff>1346837</xdr:colOff>
      <xdr:row>64</xdr:row>
      <xdr:rowOff>108586</xdr:rowOff>
    </xdr:to>
    <xdr:cxnSp macro="">
      <xdr:nvCxnSpPr>
        <xdr:cNvPr id="7" name="Straight Arrow Connector 6"/>
        <xdr:cNvCxnSpPr/>
      </xdr:nvCxnSpPr>
      <xdr:spPr>
        <a:xfrm>
          <a:off x="1512570" y="7557135"/>
          <a:ext cx="9527" cy="3295651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13</xdr:row>
          <xdr:rowOff>57150</xdr:rowOff>
        </xdr:from>
        <xdr:to>
          <xdr:col>6</xdr:col>
          <xdr:colOff>123825</xdr:colOff>
          <xdr:row>24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85</xdr:row>
          <xdr:rowOff>76200</xdr:rowOff>
        </xdr:from>
        <xdr:to>
          <xdr:col>8</xdr:col>
          <xdr:colOff>104775</xdr:colOff>
          <xdr:row>101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216380</xdr:colOff>
      <xdr:row>136</xdr:row>
      <xdr:rowOff>0</xdr:rowOff>
    </xdr:from>
    <xdr:to>
      <xdr:col>9</xdr:col>
      <xdr:colOff>76201</xdr:colOff>
      <xdr:row>136</xdr:row>
      <xdr:rowOff>3054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44</xdr:row>
      <xdr:rowOff>57151</xdr:rowOff>
    </xdr:from>
    <xdr:to>
      <xdr:col>9</xdr:col>
      <xdr:colOff>7620</xdr:colOff>
      <xdr:row>66</xdr:row>
      <xdr:rowOff>42673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130</xdr:row>
          <xdr:rowOff>28575</xdr:rowOff>
        </xdr:from>
        <xdr:to>
          <xdr:col>5</xdr:col>
          <xdr:colOff>1962150</xdr:colOff>
          <xdr:row>140</xdr:row>
          <xdr:rowOff>76200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120</xdr:row>
          <xdr:rowOff>28575</xdr:rowOff>
        </xdr:from>
        <xdr:to>
          <xdr:col>5</xdr:col>
          <xdr:colOff>2114550</xdr:colOff>
          <xdr:row>129</xdr:row>
          <xdr:rowOff>152400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38101</xdr:colOff>
      <xdr:row>0</xdr:row>
      <xdr:rowOff>1</xdr:rowOff>
    </xdr:from>
    <xdr:to>
      <xdr:col>1</xdr:col>
      <xdr:colOff>1834148</xdr:colOff>
      <xdr:row>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"/>
          <a:ext cx="1796047" cy="638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48747</xdr:colOff>
      <xdr:row>81</xdr:row>
      <xdr:rowOff>132229</xdr:rowOff>
    </xdr:from>
    <xdr:to>
      <xdr:col>10</xdr:col>
      <xdr:colOff>246530</xdr:colOff>
      <xdr:row>128</xdr:row>
      <xdr:rowOff>11766</xdr:rowOff>
    </xdr:to>
    <xdr:graphicFrame macro="">
      <xdr:nvGraphicFramePr>
        <xdr:cNvPr id="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449034</xdr:colOff>
      <xdr:row>18</xdr:row>
      <xdr:rowOff>136072</xdr:rowOff>
    </xdr:from>
    <xdr:to>
      <xdr:col>30</xdr:col>
      <xdr:colOff>136070</xdr:colOff>
      <xdr:row>51</xdr:row>
      <xdr:rowOff>176893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5</xdr:row>
      <xdr:rowOff>161925</xdr:rowOff>
    </xdr:from>
    <xdr:to>
      <xdr:col>24</xdr:col>
      <xdr:colOff>228600</xdr:colOff>
      <xdr:row>31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0</xdr:rowOff>
    </xdr:from>
    <xdr:to>
      <xdr:col>20</xdr:col>
      <xdr:colOff>246908</xdr:colOff>
      <xdr:row>24</xdr:row>
      <xdr:rowOff>85143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5" y="0"/>
          <a:ext cx="5933333" cy="4657143"/>
        </a:xfrm>
        <a:prstGeom prst="rect">
          <a:avLst/>
        </a:prstGeom>
      </xdr:spPr>
    </xdr:pic>
    <xdr:clientData/>
  </xdr:twoCellAnchor>
  <xdr:twoCellAnchor>
    <xdr:from>
      <xdr:col>10</xdr:col>
      <xdr:colOff>457200</xdr:colOff>
      <xdr:row>2</xdr:row>
      <xdr:rowOff>133350</xdr:rowOff>
    </xdr:from>
    <xdr:to>
      <xdr:col>17</xdr:col>
      <xdr:colOff>200025</xdr:colOff>
      <xdr:row>23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762000</xdr:colOff>
      <xdr:row>14</xdr:row>
      <xdr:rowOff>142875</xdr:rowOff>
    </xdr:from>
    <xdr:to>
      <xdr:col>10</xdr:col>
      <xdr:colOff>94508</xdr:colOff>
      <xdr:row>39</xdr:row>
      <xdr:rowOff>37518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809875"/>
          <a:ext cx="5933333" cy="4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2.vsd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Visio_2003-2010_Drawing3.vsd"/><Relationship Id="rId4" Type="http://schemas.openxmlformats.org/officeDocument/2006/relationships/oleObject" Target="../embeddings/Microsoft_Visio_2003-2010_Drawing.vsd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3"/>
  <sheetViews>
    <sheetView tabSelected="1" zoomScaleNormal="100" workbookViewId="0">
      <selection activeCell="C101" sqref="C101"/>
    </sheetView>
  </sheetViews>
  <sheetFormatPr defaultColWidth="9.140625" defaultRowHeight="12.75"/>
  <cols>
    <col min="1" max="1" width="2.5703125" style="1" customWidth="1"/>
    <col min="2" max="2" width="41.7109375" style="1" customWidth="1"/>
    <col min="3" max="3" width="8.7109375" style="1" customWidth="1"/>
    <col min="4" max="4" width="4.28515625" style="1" customWidth="1"/>
    <col min="5" max="5" width="3.28515625" style="1" customWidth="1"/>
    <col min="6" max="6" width="33.7109375" style="1" customWidth="1"/>
    <col min="7" max="7" width="9.42578125" style="1" customWidth="1"/>
    <col min="8" max="8" width="4.28515625" style="1" customWidth="1"/>
    <col min="9" max="9" width="3.7109375" style="1" customWidth="1"/>
    <col min="10" max="10" width="9.140625" style="1"/>
    <col min="11" max="11" width="12" style="1" bestFit="1" customWidth="1"/>
    <col min="12" max="12" width="9.5703125" style="1" bestFit="1" customWidth="1"/>
    <col min="13" max="16384" width="9.140625" style="1"/>
  </cols>
  <sheetData>
    <row r="1" spans="1:10">
      <c r="C1" s="109" t="s">
        <v>235</v>
      </c>
      <c r="D1" s="109"/>
      <c r="E1" s="109"/>
      <c r="F1" s="109"/>
      <c r="G1" s="109"/>
      <c r="H1" s="109"/>
      <c r="I1" s="109"/>
      <c r="J1" s="109"/>
    </row>
    <row r="2" spans="1:10">
      <c r="C2" s="2" t="s">
        <v>0</v>
      </c>
      <c r="D2" s="3" t="s">
        <v>1</v>
      </c>
      <c r="E2" s="3"/>
      <c r="F2" s="3"/>
      <c r="I2" s="4" t="s">
        <v>2</v>
      </c>
    </row>
    <row r="3" spans="1:10">
      <c r="C3" s="6" t="s">
        <v>3</v>
      </c>
      <c r="D3" s="7" t="s">
        <v>4</v>
      </c>
      <c r="E3" s="7"/>
      <c r="F3" s="7"/>
      <c r="G3" s="5">
        <v>9.9999999999999995E-7</v>
      </c>
      <c r="I3" s="4" t="s">
        <v>5</v>
      </c>
    </row>
    <row r="4" spans="1:10">
      <c r="B4" s="8" t="s">
        <v>234</v>
      </c>
      <c r="F4" s="1" t="s">
        <v>232</v>
      </c>
      <c r="G4" s="5">
        <v>1.0000000000000001E-9</v>
      </c>
      <c r="I4" s="4" t="s">
        <v>6</v>
      </c>
    </row>
    <row r="5" spans="1:10">
      <c r="A5" s="9" t="s">
        <v>7</v>
      </c>
      <c r="B5" s="10"/>
      <c r="C5" s="10"/>
      <c r="D5" s="10"/>
      <c r="E5" s="10"/>
      <c r="F5" s="10"/>
      <c r="G5" s="10"/>
      <c r="H5" s="10"/>
      <c r="I5" s="10"/>
      <c r="J5" s="5">
        <v>9.9999999999999998E-13</v>
      </c>
    </row>
    <row r="6" spans="1:10">
      <c r="B6" s="11" t="s">
        <v>10</v>
      </c>
      <c r="C6" s="12">
        <v>24</v>
      </c>
      <c r="D6" s="1" t="s">
        <v>9</v>
      </c>
      <c r="F6" s="13" t="s">
        <v>11</v>
      </c>
      <c r="G6" s="14">
        <f>Vo*Io</f>
        <v>288</v>
      </c>
      <c r="H6" s="15" t="s">
        <v>12</v>
      </c>
    </row>
    <row r="7" spans="1:10">
      <c r="B7" s="11" t="s">
        <v>13</v>
      </c>
      <c r="C7" s="12">
        <v>12</v>
      </c>
      <c r="D7" s="1" t="s">
        <v>14</v>
      </c>
      <c r="F7" s="13" t="s">
        <v>15</v>
      </c>
      <c r="G7" s="16">
        <f>Vo*Io/(Eff/100)</f>
        <v>300</v>
      </c>
      <c r="H7" s="15" t="s">
        <v>12</v>
      </c>
    </row>
    <row r="8" spans="1:10">
      <c r="B8" s="11" t="s">
        <v>16</v>
      </c>
      <c r="C8" s="12">
        <v>96</v>
      </c>
      <c r="D8" s="1" t="s">
        <v>17</v>
      </c>
      <c r="F8" s="13" t="s">
        <v>166</v>
      </c>
      <c r="G8" s="64">
        <f>SQRT(Vin_max^2-2*Pin*Thu*0.001/Cdl/0.000001)</f>
        <v>347.06247800124351</v>
      </c>
      <c r="H8" s="15" t="s">
        <v>9</v>
      </c>
    </row>
    <row r="9" spans="1:10">
      <c r="B9" s="65" t="s">
        <v>8</v>
      </c>
      <c r="C9" s="66">
        <v>396</v>
      </c>
      <c r="D9" s="15" t="s">
        <v>9</v>
      </c>
      <c r="E9" s="15"/>
      <c r="F9" s="65" t="s">
        <v>167</v>
      </c>
      <c r="G9" s="68">
        <v>300</v>
      </c>
      <c r="H9" s="15" t="s">
        <v>9</v>
      </c>
    </row>
    <row r="10" spans="1:10">
      <c r="B10" s="11" t="s">
        <v>18</v>
      </c>
      <c r="C10" s="12">
        <v>20</v>
      </c>
      <c r="D10" s="1" t="s">
        <v>19</v>
      </c>
      <c r="F10" s="13"/>
      <c r="G10" s="44" t="str">
        <f>IF(G8&lt;Vin_min, "Error! It should be lower than the input voltage during holdup time","OK")</f>
        <v>OK</v>
      </c>
      <c r="H10" s="15"/>
    </row>
    <row r="11" spans="1:10">
      <c r="B11" s="11" t="s">
        <v>20</v>
      </c>
      <c r="C11" s="12">
        <v>330</v>
      </c>
      <c r="D11" s="1" t="s">
        <v>21</v>
      </c>
    </row>
    <row r="13" spans="1:10">
      <c r="A13" s="9" t="s">
        <v>22</v>
      </c>
      <c r="B13" s="10"/>
      <c r="C13" s="10"/>
      <c r="D13" s="10"/>
      <c r="E13" s="10"/>
      <c r="F13" s="10"/>
      <c r="G13" s="10"/>
      <c r="H13" s="10"/>
      <c r="I13" s="10"/>
    </row>
    <row r="14" spans="1:10">
      <c r="B14" s="11" t="s">
        <v>23</v>
      </c>
      <c r="C14" s="12">
        <v>5.69</v>
      </c>
      <c r="H14" s="15"/>
    </row>
    <row r="16" spans="1:10">
      <c r="B16" s="17" t="s">
        <v>24</v>
      </c>
      <c r="C16" s="18"/>
      <c r="D16" s="19"/>
    </row>
    <row r="17" spans="1:9">
      <c r="B17" s="20" t="s">
        <v>25</v>
      </c>
      <c r="C17" s="21"/>
      <c r="D17" s="22"/>
    </row>
    <row r="18" spans="1:9">
      <c r="B18" s="92" t="s">
        <v>231</v>
      </c>
      <c r="C18" s="97">
        <v>0</v>
      </c>
      <c r="D18" s="92"/>
    </row>
    <row r="19" spans="1:9">
      <c r="B19" s="92" t="s">
        <v>233</v>
      </c>
      <c r="C19" s="97">
        <v>0</v>
      </c>
      <c r="D19" s="92"/>
    </row>
    <row r="20" spans="1:9">
      <c r="B20" s="1" t="s">
        <v>26</v>
      </c>
      <c r="C20" s="12">
        <v>1</v>
      </c>
    </row>
    <row r="21" spans="1:9">
      <c r="B21" s="13" t="s">
        <v>27</v>
      </c>
      <c r="C21" s="23">
        <f>IF(answer,SQRT(mm/(mm-1)),1)</f>
        <v>1.1014624896948106</v>
      </c>
    </row>
    <row r="23" spans="1:9">
      <c r="B23" s="17" t="s">
        <v>28</v>
      </c>
      <c r="C23" s="18"/>
      <c r="D23" s="19"/>
    </row>
    <row r="24" spans="1:9">
      <c r="B24" s="20" t="s">
        <v>29</v>
      </c>
      <c r="C24" s="21"/>
      <c r="D24" s="22"/>
    </row>
    <row r="26" spans="1:9">
      <c r="B26" s="11" t="s">
        <v>172</v>
      </c>
      <c r="C26" s="24">
        <v>1.131</v>
      </c>
    </row>
    <row r="27" spans="1:9">
      <c r="B27" s="13" t="s">
        <v>173</v>
      </c>
      <c r="C27" s="23">
        <f>M_min*Vin_max/Vin_min</f>
        <v>1.49292</v>
      </c>
    </row>
    <row r="29" spans="1:9">
      <c r="A29" s="9" t="s">
        <v>30</v>
      </c>
      <c r="B29" s="10"/>
      <c r="C29" s="10"/>
      <c r="D29" s="10"/>
      <c r="E29" s="10"/>
      <c r="F29" s="10"/>
      <c r="G29" s="10"/>
      <c r="H29" s="10"/>
      <c r="I29" s="10"/>
    </row>
    <row r="30" spans="1:9">
      <c r="B30" s="11" t="s">
        <v>31</v>
      </c>
      <c r="C30" s="12">
        <v>0</v>
      </c>
      <c r="D30" s="1" t="s">
        <v>9</v>
      </c>
      <c r="F30" s="13" t="s">
        <v>32</v>
      </c>
      <c r="G30" s="23">
        <f>IF(BRIDGE, IF(RECTIFIER,Vin_max*M_min/(Vo+2*VF),Vin_max*M_min/(Vo+VF)),IF(RECTIFIER,Vin_max*M_min/(2*(Vo+2*VF)),Vin_max*M_min/(2*(Vo+VF))))</f>
        <v>9.3307500000000001</v>
      </c>
    </row>
    <row r="31" spans="1:9">
      <c r="F31" s="25">
        <f>35/2</f>
        <v>17.5</v>
      </c>
    </row>
    <row r="32" spans="1:9">
      <c r="A32" s="9" t="s">
        <v>33</v>
      </c>
      <c r="B32" s="10"/>
      <c r="C32" s="10"/>
      <c r="D32" s="10"/>
      <c r="E32" s="10"/>
      <c r="F32" s="10"/>
      <c r="G32" s="10"/>
      <c r="H32" s="10"/>
      <c r="I32" s="10"/>
    </row>
    <row r="33" spans="1:9">
      <c r="F33" s="13" t="s">
        <v>34</v>
      </c>
      <c r="G33" s="26">
        <f>8*nn^2*Vo^2/(PI())^2/Po/C21^2</f>
        <v>116.33594461411586</v>
      </c>
      <c r="H33" s="15" t="s">
        <v>35</v>
      </c>
    </row>
    <row r="35" spans="1:9">
      <c r="A35" s="9" t="s">
        <v>36</v>
      </c>
      <c r="B35" s="10"/>
      <c r="C35" s="10"/>
      <c r="D35" s="10"/>
      <c r="E35" s="10"/>
      <c r="F35" s="10"/>
      <c r="G35" s="10"/>
      <c r="H35" s="10"/>
      <c r="I35" s="10"/>
    </row>
    <row r="36" spans="1:9" ht="13.5" thickBot="1">
      <c r="B36" s="9" t="s">
        <v>37</v>
      </c>
      <c r="F36" s="9" t="s">
        <v>38</v>
      </c>
    </row>
    <row r="37" spans="1:9">
      <c r="B37" s="27" t="s">
        <v>39</v>
      </c>
      <c r="C37" s="69">
        <v>95</v>
      </c>
      <c r="D37" s="28" t="s">
        <v>40</v>
      </c>
      <c r="F37" s="100" t="s">
        <v>41</v>
      </c>
      <c r="G37" s="101">
        <v>48</v>
      </c>
      <c r="H37" s="102" t="s">
        <v>42</v>
      </c>
    </row>
    <row r="38" spans="1:9">
      <c r="B38" s="29" t="s">
        <v>43</v>
      </c>
      <c r="C38" s="70">
        <v>0.37</v>
      </c>
      <c r="D38" s="30"/>
      <c r="F38" s="103" t="s">
        <v>44</v>
      </c>
      <c r="G38" s="70">
        <v>58</v>
      </c>
      <c r="H38" s="104" t="s">
        <v>45</v>
      </c>
    </row>
    <row r="39" spans="1:9">
      <c r="B39" s="31" t="s">
        <v>46</v>
      </c>
      <c r="C39" s="32">
        <f>1/(2*PI()*Qd*fod*k*Rac)/n</f>
        <v>38.920721433970229</v>
      </c>
      <c r="D39" s="33" t="s">
        <v>42</v>
      </c>
      <c r="F39" s="103" t="s">
        <v>47</v>
      </c>
      <c r="G39" s="70">
        <v>330</v>
      </c>
      <c r="H39" s="104" t="s">
        <v>45</v>
      </c>
    </row>
    <row r="40" spans="1:9">
      <c r="B40" s="31" t="s">
        <v>48</v>
      </c>
      <c r="C40" s="34">
        <f>1/(2*PI()*fod)^2/Crd/n</f>
        <v>72.112768826342673</v>
      </c>
      <c r="D40" s="33" t="s">
        <v>45</v>
      </c>
      <c r="F40" s="105" t="s">
        <v>49</v>
      </c>
      <c r="G40" s="35">
        <f>SQRT(Lr*u/Cr/n)/Rac.e</f>
        <v>0.29880307995550093</v>
      </c>
      <c r="H40" s="104"/>
    </row>
    <row r="41" spans="1:9">
      <c r="B41" s="36" t="s">
        <v>50</v>
      </c>
      <c r="C41" s="37">
        <f>mm*Lrd</f>
        <v>410.32165462188982</v>
      </c>
      <c r="D41" s="38" t="s">
        <v>45</v>
      </c>
      <c r="F41" s="105" t="s">
        <v>51</v>
      </c>
      <c r="G41" s="34">
        <f>1/2/PI()/SQRT(Lr*Cr*n*u)/1000</f>
        <v>95.386193078198204</v>
      </c>
      <c r="H41" s="104" t="s">
        <v>40</v>
      </c>
    </row>
    <row r="42" spans="1:9">
      <c r="B42" s="4" t="s">
        <v>52</v>
      </c>
      <c r="C42" s="4"/>
      <c r="F42" s="105" t="s">
        <v>53</v>
      </c>
      <c r="G42" s="32">
        <f>Lp/Lr</f>
        <v>5.6896551724137927</v>
      </c>
      <c r="H42" s="104"/>
    </row>
    <row r="43" spans="1:9">
      <c r="B43" s="4"/>
      <c r="C43" s="4"/>
      <c r="F43" s="105" t="s">
        <v>201</v>
      </c>
      <c r="G43" s="34">
        <f>Rac.e</f>
        <v>116.33444127439091</v>
      </c>
      <c r="H43" s="104" t="s">
        <v>35</v>
      </c>
    </row>
    <row r="44" spans="1:9" ht="13.5" thickBot="1">
      <c r="B44" s="4"/>
      <c r="C44" s="4"/>
      <c r="F44" s="106" t="s">
        <v>189</v>
      </c>
      <c r="G44" s="107">
        <f>f_min.curve</f>
        <v>44.010222126702025</v>
      </c>
      <c r="H44" s="108" t="s">
        <v>40</v>
      </c>
    </row>
    <row r="53" spans="12:12">
      <c r="L53" s="67"/>
    </row>
    <row r="68" spans="1:9">
      <c r="A68" s="9" t="s">
        <v>54</v>
      </c>
      <c r="B68" s="10"/>
      <c r="C68" s="10"/>
      <c r="D68" s="10"/>
      <c r="E68" s="10"/>
      <c r="F68" s="10"/>
      <c r="G68" s="10"/>
      <c r="H68" s="10"/>
      <c r="I68" s="10"/>
    </row>
    <row r="69" spans="1:9" ht="14.25">
      <c r="B69" s="11" t="s">
        <v>55</v>
      </c>
      <c r="C69" s="71">
        <v>189.2</v>
      </c>
      <c r="D69" s="11" t="s">
        <v>56</v>
      </c>
      <c r="F69" s="39" t="s">
        <v>57</v>
      </c>
      <c r="G69" s="16">
        <f>nn*(Vo+VF)/(4*fo*Bmax*Ae*MC)*1000</f>
        <v>28.163630490495496</v>
      </c>
      <c r="H69" s="15" t="s">
        <v>58</v>
      </c>
    </row>
    <row r="70" spans="1:9">
      <c r="B70" s="11" t="s">
        <v>168</v>
      </c>
      <c r="C70" s="71">
        <v>0.1</v>
      </c>
      <c r="D70" s="11" t="s">
        <v>59</v>
      </c>
      <c r="F70" s="39" t="s">
        <v>60</v>
      </c>
      <c r="G70" s="26">
        <f>Ns*nn</f>
        <v>27.992249999999999</v>
      </c>
      <c r="H70" s="15" t="s">
        <v>58</v>
      </c>
    </row>
    <row r="71" spans="1:9">
      <c r="F71" s="39" t="s">
        <v>61</v>
      </c>
      <c r="G71" s="40">
        <f>SQRT((PI()*Io/2/SQRT(2)/nn)^2+(nn*(Vo+VF)/4/SQRT(2)/fo/k/Mv/(Lp-Lr)/u)^2)</f>
        <v>1.9898264428374632</v>
      </c>
      <c r="H71" s="15" t="s">
        <v>62</v>
      </c>
    </row>
    <row r="72" spans="1:9">
      <c r="B72" s="11" t="s">
        <v>63</v>
      </c>
      <c r="C72" s="71">
        <v>3</v>
      </c>
      <c r="D72" s="11" t="s">
        <v>58</v>
      </c>
      <c r="F72" s="39" t="s">
        <v>64</v>
      </c>
      <c r="G72" s="40">
        <f>(PI()*Io/4)</f>
        <v>9.4247779607693793</v>
      </c>
      <c r="H72" s="15" t="s">
        <v>62</v>
      </c>
    </row>
    <row r="74" spans="1:9">
      <c r="A74" s="9" t="s">
        <v>65</v>
      </c>
      <c r="B74" s="10"/>
      <c r="C74" s="10"/>
      <c r="D74" s="10"/>
      <c r="E74" s="10"/>
      <c r="F74" s="10"/>
      <c r="G74" s="10"/>
      <c r="H74" s="10"/>
      <c r="I74" s="10"/>
    </row>
    <row r="75" spans="1:9">
      <c r="B75" s="11" t="s">
        <v>66</v>
      </c>
      <c r="C75" s="71">
        <v>13</v>
      </c>
      <c r="D75" s="11" t="s">
        <v>14</v>
      </c>
      <c r="F75" s="39" t="s">
        <v>67</v>
      </c>
      <c r="G75" s="23">
        <f>SQRT((PI()*Io/2/SQRT(2)/nn)^2+(nn*(Vo+VF)/4/SQRT(2)/fo/k/Mv/(Lp-Lr)/u)^2)</f>
        <v>1.9898264428374632</v>
      </c>
      <c r="H75" s="15" t="s">
        <v>14</v>
      </c>
    </row>
    <row r="76" spans="1:9">
      <c r="B76" s="1" t="s">
        <v>68</v>
      </c>
      <c r="C76" s="71">
        <v>105</v>
      </c>
      <c r="D76" s="11" t="s">
        <v>40</v>
      </c>
      <c r="F76" s="39" t="s">
        <v>69</v>
      </c>
      <c r="G76" s="23">
        <f>IF(BRIDGE,Io/(4*fs_nrm*Np/Ns*Cr)/u,Vin_max/2+Io/(4*fs_nrm*Np/Ns*Cr)/u)</f>
        <v>261.79316724144314</v>
      </c>
      <c r="H76" s="15" t="s">
        <v>9</v>
      </c>
    </row>
    <row r="77" spans="1:9">
      <c r="B77" s="1" t="s">
        <v>70</v>
      </c>
      <c r="C77" s="71">
        <v>69.400000000000006</v>
      </c>
      <c r="D77" s="11" t="s">
        <v>40</v>
      </c>
      <c r="F77" s="39" t="s">
        <v>71</v>
      </c>
      <c r="G77" s="23">
        <f>IF(BRIDGE,Iocp/(4*fs_nrm*Np/Ns*Cr)/u,Vin_max/2+Iocp/(4*fs_nrm*Np/Ns*Cr)/u)</f>
        <v>267.10926451156337</v>
      </c>
      <c r="H77" s="15" t="s">
        <v>9</v>
      </c>
    </row>
    <row r="78" spans="1:9">
      <c r="B78" s="1" t="s">
        <v>190</v>
      </c>
      <c r="C78" s="74">
        <f>f_min.RFMIN</f>
        <v>65</v>
      </c>
      <c r="D78" s="11" t="s">
        <v>40</v>
      </c>
      <c r="F78" s="39" t="s">
        <v>72</v>
      </c>
      <c r="G78" s="23">
        <f>IF(BRIDGE,Iocp/(4*f_min.RFMIN*Np/Ns*Cr)/u+Np/Ns*(Vo+VF)/(4*Mv*fo*(Lp-Lr))*(1/2/f_min.RFMIN-1/2/fo)/Cr/n,Vin_min/2+Iocp/(4*f_min.RFMIN*Np/Ns*Cr)/u+Np/Ns*(Vo+VF)/(4*Mv*fo*(Lp-Lr))*(1/2/f_min.RFMIN-1/2/fo)/Cr/n)</f>
        <v>361.64887760305947</v>
      </c>
      <c r="H78" s="15" t="s">
        <v>9</v>
      </c>
    </row>
    <row r="80" spans="1:9">
      <c r="A80" s="9" t="s">
        <v>73</v>
      </c>
      <c r="B80" s="10"/>
      <c r="C80" s="10"/>
      <c r="D80" s="10"/>
      <c r="E80" s="10"/>
      <c r="F80" s="10"/>
      <c r="G80" s="10"/>
      <c r="H80" s="10"/>
      <c r="I80" s="10"/>
    </row>
    <row r="81" spans="1:9">
      <c r="B81" s="17" t="s">
        <v>74</v>
      </c>
      <c r="C81" s="18"/>
      <c r="D81" s="19"/>
      <c r="F81" s="39" t="s">
        <v>75</v>
      </c>
      <c r="G81" s="16">
        <f>2*(Vo+VF)</f>
        <v>48</v>
      </c>
      <c r="H81" s="15" t="s">
        <v>9</v>
      </c>
    </row>
    <row r="82" spans="1:9">
      <c r="B82" s="20"/>
      <c r="C82" s="21"/>
      <c r="D82" s="22"/>
      <c r="F82" s="39" t="s">
        <v>76</v>
      </c>
      <c r="G82" s="23">
        <f>PI()/4*Io</f>
        <v>9.4247779607693793</v>
      </c>
      <c r="H82" s="15" t="s">
        <v>14</v>
      </c>
    </row>
    <row r="83" spans="1:9">
      <c r="B83" s="11" t="s">
        <v>77</v>
      </c>
      <c r="C83" s="71">
        <v>4800</v>
      </c>
      <c r="D83" s="15" t="s">
        <v>21</v>
      </c>
      <c r="F83" s="39" t="s">
        <v>78</v>
      </c>
      <c r="G83" s="23">
        <f>SQRT((PI()^2-8)/8)*Io</f>
        <v>5.8011101713041482</v>
      </c>
      <c r="H83" s="15" t="s">
        <v>14</v>
      </c>
    </row>
    <row r="84" spans="1:9">
      <c r="B84" s="11" t="s">
        <v>79</v>
      </c>
      <c r="C84" s="71">
        <v>3.75</v>
      </c>
      <c r="D84" s="15" t="s">
        <v>80</v>
      </c>
      <c r="F84" s="39" t="s">
        <v>81</v>
      </c>
      <c r="G84" s="23">
        <f>PI()/2*Io*ESR+PI()/2*Io*67/fo/Cout*1000</f>
        <v>73.444183437881364</v>
      </c>
      <c r="H84" s="15" t="s">
        <v>82</v>
      </c>
    </row>
    <row r="86" spans="1:9">
      <c r="A86" s="9" t="s">
        <v>83</v>
      </c>
      <c r="B86" s="10"/>
      <c r="C86" s="10"/>
      <c r="D86" s="10"/>
      <c r="E86" s="10"/>
      <c r="F86" s="10"/>
      <c r="G86" s="10"/>
      <c r="H86" s="10"/>
      <c r="I86" s="10"/>
    </row>
    <row r="87" spans="1:9">
      <c r="B87" s="41" t="s">
        <v>84</v>
      </c>
      <c r="C87" s="42">
        <f>SQRT(2)*G71</f>
        <v>2.8140395422293527</v>
      </c>
      <c r="D87" s="15" t="s">
        <v>14</v>
      </c>
    </row>
    <row r="88" spans="1:9" ht="15">
      <c r="B88" s="11" t="s">
        <v>85</v>
      </c>
      <c r="C88" s="71">
        <v>5</v>
      </c>
      <c r="D88" s="1" t="s">
        <v>14</v>
      </c>
      <c r="F88" s="43"/>
    </row>
    <row r="89" spans="1:9">
      <c r="B89" s="44" t="s">
        <v>86</v>
      </c>
      <c r="C89" s="45">
        <f>Iocp</f>
        <v>13</v>
      </c>
      <c r="D89" s="1" t="s">
        <v>14</v>
      </c>
    </row>
    <row r="90" spans="1:9">
      <c r="B90" s="1" t="s">
        <v>87</v>
      </c>
      <c r="C90" s="71">
        <v>44</v>
      </c>
      <c r="D90" s="11"/>
    </row>
    <row r="91" spans="1:9">
      <c r="B91" s="41" t="s">
        <v>88</v>
      </c>
      <c r="C91" s="46">
        <f>2.4*nct*4*fo*Mv*(Lp-Lr)/(Np/Ns*(Vo+VF))/1000</f>
        <v>53.904255539641966</v>
      </c>
      <c r="D91" s="15" t="s">
        <v>35</v>
      </c>
    </row>
    <row r="92" spans="1:9">
      <c r="B92" s="11" t="s">
        <v>89</v>
      </c>
      <c r="C92" s="71">
        <v>230</v>
      </c>
      <c r="D92" s="15" t="s">
        <v>35</v>
      </c>
    </row>
    <row r="93" spans="1:9">
      <c r="B93" s="1" t="s">
        <v>90</v>
      </c>
      <c r="C93" s="99">
        <f>3.5*nct/I.PR.ocp</f>
        <v>30.8</v>
      </c>
      <c r="D93" s="15" t="s">
        <v>35</v>
      </c>
    </row>
    <row r="94" spans="1:9">
      <c r="B94" s="1" t="s">
        <v>91</v>
      </c>
      <c r="C94" s="99">
        <f>C92-C93</f>
        <v>199.2</v>
      </c>
      <c r="D94" s="15" t="s">
        <v>35</v>
      </c>
    </row>
    <row r="95" spans="1:9">
      <c r="B95" s="41" t="s">
        <v>92</v>
      </c>
      <c r="C95" s="42">
        <f>(Np/Ns*(Vo+VF))/(nct*4*fo*Mv*(Lp-Lr))*C92*1000</f>
        <v>10.240378880551487</v>
      </c>
      <c r="D95" s="1" t="s">
        <v>9</v>
      </c>
    </row>
    <row r="96" spans="1:9">
      <c r="B96" s="11" t="s">
        <v>93</v>
      </c>
      <c r="C96" s="71">
        <v>1</v>
      </c>
      <c r="D96" s="11" t="s">
        <v>42</v>
      </c>
    </row>
    <row r="97" spans="1:18">
      <c r="B97" s="1" t="s">
        <v>94</v>
      </c>
      <c r="C97" s="71">
        <v>10000</v>
      </c>
      <c r="D97" s="15" t="s">
        <v>95</v>
      </c>
    </row>
    <row r="98" spans="1:18">
      <c r="B98" s="1" t="s">
        <v>96</v>
      </c>
      <c r="C98" s="98">
        <f>coef4*(1.2/C95)^4+coef3*(1.2/C95)^3+coef2*(1.2/C95)^2+coef1*(1.2/C95)+coef0</f>
        <v>0.99526953129274331</v>
      </c>
      <c r="D98" s="15"/>
    </row>
    <row r="99" spans="1:18">
      <c r="B99" s="1" t="s">
        <v>97</v>
      </c>
      <c r="C99" s="98">
        <f>coef4*(1.45/C95)^4+coef3*(1.45/C95)^3+coef2*(1.45/C95)^2+coef1*(1.45/C95)+coef0</f>
        <v>0.99316503702915493</v>
      </c>
      <c r="O99" s="90"/>
      <c r="P99" s="90"/>
      <c r="Q99" s="90"/>
      <c r="R99" s="90"/>
    </row>
    <row r="100" spans="1:18">
      <c r="B100" s="11" t="s">
        <v>98</v>
      </c>
      <c r="C100" s="47">
        <f>5/RSLP/CICS*0.5/fs_nrm*1000</f>
        <v>2.3809523809523812E-3</v>
      </c>
      <c r="D100" s="15" t="s">
        <v>9</v>
      </c>
      <c r="F100" s="48"/>
      <c r="O100" s="90"/>
      <c r="P100" s="90"/>
      <c r="Q100" s="90"/>
      <c r="R100" s="90"/>
    </row>
    <row r="101" spans="1:18">
      <c r="B101" s="11" t="s">
        <v>99</v>
      </c>
      <c r="C101" s="89">
        <f>L103</f>
        <v>33.158232904866487</v>
      </c>
      <c r="D101" s="15" t="s">
        <v>95</v>
      </c>
      <c r="F101" s="88" t="str">
        <f>"or try " &amp;  TRUNC(IF(fs_nrm&gt;fo,L101,L102),1) &amp; " kΩ"</f>
        <v>or try 28.8 kΩ</v>
      </c>
      <c r="K101" s="25" t="s">
        <v>181</v>
      </c>
      <c r="L101" s="25">
        <f>C92/nct/(1.2-VICS.SLP)*Attn1/CICS*(Io.olp*Ns/Np*0.5/fs_nrm)*1000000/1000</f>
        <v>28.820710164437646</v>
      </c>
      <c r="M101" s="25" t="s">
        <v>95</v>
      </c>
      <c r="O101" s="90"/>
      <c r="P101" s="90"/>
      <c r="Q101" s="90"/>
      <c r="R101" s="90"/>
    </row>
    <row r="102" spans="1:18">
      <c r="B102" s="11" t="s">
        <v>100</v>
      </c>
      <c r="C102" s="47">
        <f>C92*Pin/nct/C101/CICS/f_min/Vin_min*1000*attn2+VICS.SLP*fs_nrm/f_min</f>
        <v>2.259636790139806</v>
      </c>
      <c r="D102" s="15" t="s">
        <v>9</v>
      </c>
      <c r="K102" s="25" t="s">
        <v>182</v>
      </c>
      <c r="L102" s="25">
        <f>C92/nct/(1.2-VICS.SLP)*Attn1/CICS*(Io.olp*Ns/Np*0.5/fs_nrm+Np/Ns*(Vo+VF)/4/MC/(Lp-Lr)/fo*(500/fs_nrm-500/fo))*1000000/1000</f>
        <v>24.73630680768213</v>
      </c>
      <c r="M102" s="25" t="s">
        <v>95</v>
      </c>
      <c r="O102" s="90"/>
      <c r="P102" s="90"/>
      <c r="Q102" s="90"/>
      <c r="R102" s="90"/>
    </row>
    <row r="103" spans="1:18">
      <c r="K103" s="25" t="s">
        <v>199</v>
      </c>
      <c r="L103" s="93">
        <f>IF(BRIDGE,(Vo*Io.olp/Eff*100-4*C121*n*Vin_max^2*fs_nrm)*C92/(2*Vin_max*fs_nrm*k*nct*CICS*n*(1.2-VICS.SLP))/k,(Vo*Io.olp/Eff*100-2*C121*n*Vin_max^2*fs_nrm)*C92/(Vin_max*fs_nrm*k*nct*CICS*n*(1.2-VICS.SLP))/k)</f>
        <v>33.158232904866487</v>
      </c>
      <c r="M103" s="25" t="s">
        <v>95</v>
      </c>
      <c r="O103" s="90"/>
      <c r="P103" s="90"/>
      <c r="Q103" s="90"/>
      <c r="R103" s="90"/>
    </row>
    <row r="104" spans="1:18">
      <c r="A104" s="9" t="s">
        <v>101</v>
      </c>
      <c r="B104" s="10"/>
      <c r="C104" s="10"/>
      <c r="D104" s="10"/>
      <c r="E104" s="10"/>
      <c r="F104" s="10"/>
      <c r="G104" s="10"/>
      <c r="H104" s="10"/>
      <c r="I104" s="10"/>
      <c r="O104" s="90"/>
      <c r="P104" s="90"/>
      <c r="Q104" s="90"/>
      <c r="R104" s="90"/>
    </row>
    <row r="105" spans="1:18">
      <c r="B105" s="41" t="s">
        <v>102</v>
      </c>
      <c r="C105" s="42">
        <f>Cout*Vo/(Io.olp-Io)/1000</f>
        <v>115.2</v>
      </c>
      <c r="D105" s="15" t="s">
        <v>19</v>
      </c>
      <c r="O105" s="90"/>
      <c r="P105" s="90"/>
      <c r="Q105" s="90"/>
      <c r="R105" s="90"/>
    </row>
    <row r="106" spans="1:18" ht="15">
      <c r="B106" s="11" t="s">
        <v>103</v>
      </c>
      <c r="C106" s="71">
        <v>60</v>
      </c>
      <c r="D106" s="1" t="s">
        <v>19</v>
      </c>
      <c r="F106" s="43"/>
      <c r="O106" s="90"/>
      <c r="P106" s="90"/>
      <c r="Q106" s="90"/>
      <c r="R106" s="90"/>
    </row>
    <row r="107" spans="1:18">
      <c r="B107" s="41" t="s">
        <v>104</v>
      </c>
      <c r="C107" s="49">
        <f>C106/2.4*40</f>
        <v>1000</v>
      </c>
      <c r="D107" s="15" t="s">
        <v>42</v>
      </c>
      <c r="O107" s="90"/>
      <c r="P107" s="90"/>
      <c r="Q107" s="90"/>
      <c r="R107" s="90"/>
    </row>
    <row r="108" spans="1:18">
      <c r="O108" s="90"/>
      <c r="P108" s="90"/>
      <c r="Q108" s="90"/>
      <c r="R108" s="90"/>
    </row>
    <row r="109" spans="1:18">
      <c r="A109" s="9" t="s">
        <v>105</v>
      </c>
      <c r="B109" s="10"/>
      <c r="C109" s="10"/>
      <c r="D109" s="10"/>
      <c r="E109" s="10"/>
      <c r="F109" s="10"/>
      <c r="G109" s="10"/>
      <c r="H109" s="10"/>
      <c r="I109" s="10"/>
      <c r="O109" s="90"/>
      <c r="P109" s="90"/>
      <c r="Q109" s="90"/>
      <c r="R109" s="90"/>
    </row>
    <row r="110" spans="1:18">
      <c r="B110" s="41" t="s">
        <v>106</v>
      </c>
      <c r="C110" s="42">
        <f>f_min</f>
        <v>69.400000000000006</v>
      </c>
      <c r="D110" s="15" t="s">
        <v>40</v>
      </c>
      <c r="O110" s="90"/>
      <c r="P110" s="90"/>
      <c r="Q110" s="90"/>
      <c r="R110" s="90"/>
    </row>
    <row r="111" spans="1:18" ht="15">
      <c r="B111" s="11" t="s">
        <v>107</v>
      </c>
      <c r="C111" s="71">
        <v>65</v>
      </c>
      <c r="D111" s="1" t="s">
        <v>40</v>
      </c>
      <c r="F111" s="43"/>
      <c r="O111" s="90"/>
      <c r="P111" s="90"/>
      <c r="Q111" s="90"/>
      <c r="R111" s="90"/>
    </row>
    <row r="112" spans="1:18" ht="14.25">
      <c r="B112" s="41" t="s">
        <v>108</v>
      </c>
      <c r="C112" s="50">
        <f>1000/C111</f>
        <v>15.384615384615385</v>
      </c>
      <c r="D112" s="15" t="s">
        <v>95</v>
      </c>
      <c r="O112" s="90"/>
      <c r="P112" s="90"/>
      <c r="Q112" s="90"/>
      <c r="R112" s="90"/>
    </row>
    <row r="113" spans="1:18">
      <c r="O113" s="90"/>
      <c r="P113" s="90"/>
      <c r="Q113" s="90"/>
      <c r="R113" s="90"/>
    </row>
    <row r="114" spans="1:18">
      <c r="A114" s="9" t="s">
        <v>109</v>
      </c>
      <c r="B114" s="10"/>
      <c r="C114" s="10"/>
      <c r="D114" s="10"/>
      <c r="E114" s="10"/>
      <c r="F114" s="10"/>
      <c r="G114" s="10"/>
      <c r="H114" s="10"/>
      <c r="I114" s="10"/>
      <c r="K114" s="90"/>
      <c r="L114" s="90"/>
      <c r="M114" s="90"/>
      <c r="N114" s="90"/>
      <c r="O114" s="90"/>
      <c r="P114" s="90"/>
      <c r="Q114" s="90"/>
      <c r="R114" s="90"/>
    </row>
    <row r="115" spans="1:18" ht="13.5" thickBot="1">
      <c r="B115" s="11" t="s">
        <v>110</v>
      </c>
      <c r="C115" s="71">
        <v>1.48</v>
      </c>
      <c r="D115" s="1" t="s">
        <v>9</v>
      </c>
      <c r="K115" s="90"/>
      <c r="L115" s="90"/>
      <c r="M115" s="90"/>
      <c r="N115" s="90"/>
      <c r="O115" s="90"/>
      <c r="P115" s="90"/>
      <c r="Q115" s="90"/>
      <c r="R115" s="90"/>
    </row>
    <row r="116" spans="1:18" ht="15.75" thickBot="1">
      <c r="B116" s="41" t="s">
        <v>198</v>
      </c>
      <c r="C116" s="91">
        <f>(f_min.RFMIN*2+(3/4)*(5/2)/(CICS*0.000000001*RSLP*1000)/1000)/(VCOMP.PWM-1)</f>
        <v>271.22395833333337</v>
      </c>
      <c r="D116" s="15" t="s">
        <v>40</v>
      </c>
      <c r="F116" s="43"/>
      <c r="K116" s="90"/>
      <c r="L116" s="90"/>
      <c r="M116" s="90"/>
      <c r="N116" s="90"/>
      <c r="O116" s="90"/>
      <c r="P116" s="90"/>
      <c r="Q116" s="90"/>
      <c r="R116" s="90"/>
    </row>
    <row r="117" spans="1:18" ht="15">
      <c r="B117" s="41" t="s">
        <v>202</v>
      </c>
      <c r="C117" s="87">
        <f>IF((2/((C115-1)*2/40300-5*0.000001)/1000)&gt;0,(2/((C115-1)*2/40300-5*0.000001)/1000),"N/A")</f>
        <v>80.72108162243363</v>
      </c>
      <c r="D117" s="15" t="s">
        <v>95</v>
      </c>
      <c r="F117" s="43"/>
      <c r="K117" s="90"/>
      <c r="L117" s="90"/>
      <c r="M117" s="90"/>
      <c r="N117" s="90"/>
      <c r="O117" s="90"/>
      <c r="P117" s="90"/>
      <c r="Q117" s="90"/>
      <c r="R117" s="90"/>
    </row>
    <row r="118" spans="1:18" ht="15">
      <c r="B118" s="41" t="s">
        <v>193</v>
      </c>
      <c r="C118" s="87" t="str">
        <f>IF((2/((C115-1.45)*2/20150-5*0.000001)/1000)&gt;0,(2/((C115-1.45)*2/20150-5*0.000001)/1000),"N/A")</f>
        <v>N/A</v>
      </c>
      <c r="D118" s="15" t="s">
        <v>95</v>
      </c>
      <c r="F118" s="43"/>
      <c r="K118" s="90"/>
      <c r="L118" s="90"/>
      <c r="M118" s="90"/>
      <c r="N118" s="90"/>
      <c r="O118" s="90"/>
      <c r="P118" s="90"/>
      <c r="Q118" s="90"/>
      <c r="R118" s="90"/>
    </row>
    <row r="119" spans="1:18">
      <c r="K119" s="90"/>
      <c r="L119" s="90"/>
      <c r="M119" s="90"/>
      <c r="N119" s="90"/>
      <c r="O119" s="90"/>
      <c r="P119" s="90"/>
      <c r="Q119" s="90"/>
      <c r="R119" s="90"/>
    </row>
    <row r="120" spans="1:18">
      <c r="A120" s="9" t="s">
        <v>111</v>
      </c>
      <c r="B120" s="10"/>
      <c r="C120" s="10"/>
      <c r="D120" s="10"/>
      <c r="E120" s="10"/>
      <c r="F120" s="10"/>
      <c r="G120" s="10"/>
      <c r="H120" s="10"/>
      <c r="I120" s="10"/>
      <c r="K120" s="90"/>
      <c r="L120" s="90"/>
      <c r="M120" s="90"/>
      <c r="N120" s="90"/>
      <c r="O120" s="90"/>
      <c r="P120" s="90"/>
      <c r="Q120" s="90"/>
      <c r="R120" s="90"/>
    </row>
    <row r="121" spans="1:18">
      <c r="B121" s="1" t="s">
        <v>112</v>
      </c>
      <c r="C121" s="72">
        <v>277</v>
      </c>
      <c r="D121" s="1" t="s">
        <v>113</v>
      </c>
      <c r="K121" s="90"/>
      <c r="L121" s="90"/>
      <c r="M121" s="90"/>
      <c r="N121" s="90"/>
      <c r="O121" s="90"/>
      <c r="P121" s="90"/>
      <c r="Q121" s="90"/>
      <c r="R121" s="90"/>
    </row>
    <row r="122" spans="1:18" ht="15">
      <c r="B122" s="41" t="s">
        <v>194</v>
      </c>
      <c r="C122" s="42">
        <f>Np/Ns*(Vo+VF)/(Lp-Lr)/4/fo*1000/Mv</f>
        <v>1.9590290032359361</v>
      </c>
      <c r="D122" s="1" t="s">
        <v>14</v>
      </c>
      <c r="F122"/>
      <c r="K122" s="90"/>
      <c r="L122" s="90"/>
      <c r="M122" s="90"/>
      <c r="N122" s="90"/>
      <c r="O122" s="90"/>
      <c r="P122" s="90"/>
      <c r="Q122" s="90"/>
      <c r="R122" s="90"/>
    </row>
    <row r="123" spans="1:18">
      <c r="B123" s="41" t="s">
        <v>195</v>
      </c>
      <c r="C123" s="42">
        <f>Np/Ns*(Vo+VF)/(Lp-Lr)/4/C116*1000/Mv</f>
        <v>0.68896685933179092</v>
      </c>
      <c r="D123" s="1" t="s">
        <v>14</v>
      </c>
    </row>
    <row r="124" spans="1:18">
      <c r="B124" s="1" t="s">
        <v>196</v>
      </c>
      <c r="C124" s="49">
        <f>IF(BRIDGE,Vin_max*4*C121/C122/k,Vin_max*2*C121/C122/k)</f>
        <v>111.9860908836062</v>
      </c>
      <c r="D124" s="1" t="s">
        <v>114</v>
      </c>
      <c r="H124" s="51"/>
      <c r="I124" s="51"/>
      <c r="J124" s="51"/>
      <c r="K124" s="51"/>
      <c r="L124" s="51"/>
      <c r="M124" s="51"/>
      <c r="N124" s="51"/>
      <c r="O124" s="51"/>
    </row>
    <row r="125" spans="1:18">
      <c r="B125" s="1" t="s">
        <v>197</v>
      </c>
      <c r="C125" s="49">
        <f>IF(BRIDGE,Vin_max*4*C121/C123/k,Vin_max*2*C121/C123/k)</f>
        <v>318.42460494075755</v>
      </c>
      <c r="D125" s="1" t="s">
        <v>114</v>
      </c>
      <c r="H125" s="51"/>
      <c r="I125" s="51"/>
      <c r="J125" s="51"/>
      <c r="K125" s="51"/>
      <c r="L125" s="51"/>
      <c r="M125" s="51"/>
      <c r="N125" s="51"/>
      <c r="O125" s="51"/>
    </row>
    <row r="126" spans="1:18">
      <c r="A126" s="52"/>
      <c r="B126" s="53" t="s">
        <v>115</v>
      </c>
      <c r="C126" s="72">
        <v>470</v>
      </c>
      <c r="D126" s="1" t="s">
        <v>113</v>
      </c>
    </row>
    <row r="127" spans="1:18">
      <c r="A127" s="52"/>
      <c r="B127" s="53" t="s">
        <v>116</v>
      </c>
      <c r="C127" s="72">
        <v>51</v>
      </c>
      <c r="D127" s="15" t="s">
        <v>95</v>
      </c>
    </row>
    <row r="128" spans="1:18">
      <c r="A128" s="52"/>
      <c r="B128" s="41" t="s">
        <v>117</v>
      </c>
      <c r="C128" s="54">
        <f>ROUND(1/32/25*(R.DT*C.DT*LN(0.15*R.DT-2)-R.DT*C.DT*LN(0.15*R.DT-4))-0.5,0)*25</f>
        <v>325</v>
      </c>
      <c r="D128" s="1" t="s">
        <v>114</v>
      </c>
    </row>
    <row r="129" spans="1:15">
      <c r="A129" s="52"/>
      <c r="B129" s="41" t="s">
        <v>118</v>
      </c>
      <c r="C129" s="54">
        <f>ROUND((-R.DT*C.DT*LN(1-3/5)+C.DT*R.DT*LN(1-1/5))/64/25,0)*25</f>
        <v>250</v>
      </c>
      <c r="D129" s="1" t="s">
        <v>114</v>
      </c>
    </row>
    <row r="130" spans="1:15">
      <c r="A130" s="52"/>
    </row>
    <row r="131" spans="1:15">
      <c r="A131" s="9" t="s">
        <v>119</v>
      </c>
      <c r="B131" s="10"/>
      <c r="C131" s="10"/>
      <c r="D131" s="10"/>
      <c r="E131" s="10"/>
      <c r="F131" s="10"/>
      <c r="G131" s="10"/>
      <c r="H131" s="10"/>
      <c r="I131" s="10"/>
      <c r="J131" s="51"/>
      <c r="K131" s="51"/>
      <c r="L131" s="51"/>
      <c r="M131" s="51"/>
      <c r="N131" s="51"/>
      <c r="O131" s="51"/>
    </row>
    <row r="132" spans="1:15" ht="15">
      <c r="B132" s="1" t="s">
        <v>120</v>
      </c>
      <c r="C132" s="72">
        <v>2.7</v>
      </c>
      <c r="D132" s="15" t="s">
        <v>95</v>
      </c>
      <c r="F132"/>
      <c r="H132" s="51"/>
      <c r="I132" s="51"/>
    </row>
    <row r="133" spans="1:15">
      <c r="B133" s="41" t="s">
        <v>121</v>
      </c>
      <c r="C133" s="42">
        <f>(2*Vo/4-1)*C132</f>
        <v>29.700000000000003</v>
      </c>
      <c r="D133" s="15" t="s">
        <v>95</v>
      </c>
    </row>
    <row r="134" spans="1:15">
      <c r="A134" s="52"/>
      <c r="B134" s="1" t="s">
        <v>122</v>
      </c>
      <c r="C134" s="72">
        <v>30</v>
      </c>
      <c r="D134" s="15" t="s">
        <v>95</v>
      </c>
    </row>
    <row r="135" spans="1:15">
      <c r="A135" s="52"/>
      <c r="B135" s="41" t="s">
        <v>123</v>
      </c>
      <c r="C135" s="42">
        <f>100/C132/C134*(C132+C134)</f>
        <v>40.370370370370374</v>
      </c>
      <c r="D135" s="15" t="s">
        <v>113</v>
      </c>
      <c r="N135" s="51"/>
      <c r="O135" s="51"/>
    </row>
    <row r="136" spans="1:15">
      <c r="A136" s="52"/>
      <c r="H136" s="51"/>
      <c r="I136" s="51"/>
      <c r="J136" s="51"/>
      <c r="K136" s="51"/>
      <c r="L136" s="51"/>
      <c r="M136" s="51"/>
    </row>
    <row r="137" spans="1:15">
      <c r="A137" s="52"/>
      <c r="B137" s="52"/>
      <c r="C137" s="52"/>
      <c r="D137" s="52"/>
      <c r="E137" s="52"/>
      <c r="F137" s="52"/>
      <c r="G137" s="52"/>
    </row>
    <row r="138" spans="1:15">
      <c r="A138" s="52"/>
      <c r="B138" s="52"/>
      <c r="C138" s="52"/>
      <c r="D138" s="52"/>
      <c r="E138" s="52"/>
      <c r="F138" s="52"/>
      <c r="G138" s="52"/>
    </row>
    <row r="139" spans="1:15">
      <c r="A139" s="52"/>
      <c r="B139" s="52"/>
      <c r="C139" s="52"/>
      <c r="D139" s="52"/>
      <c r="E139" s="52"/>
      <c r="F139" s="52"/>
      <c r="G139" s="52"/>
    </row>
    <row r="140" spans="1:15">
      <c r="A140" s="52"/>
      <c r="B140" s="52"/>
      <c r="C140" s="52"/>
      <c r="D140" s="52"/>
      <c r="E140" s="52"/>
      <c r="F140" s="52"/>
      <c r="G140" s="52"/>
    </row>
    <row r="141" spans="1:15">
      <c r="A141" s="52"/>
      <c r="B141" s="52"/>
      <c r="C141" s="52"/>
      <c r="D141" s="52"/>
      <c r="E141" s="52"/>
      <c r="F141" s="52"/>
      <c r="G141" s="52"/>
    </row>
    <row r="142" spans="1:15">
      <c r="A142" s="52"/>
      <c r="B142" s="52"/>
      <c r="C142" s="52"/>
      <c r="D142" s="52"/>
      <c r="E142" s="52"/>
      <c r="F142" s="52"/>
      <c r="G142" s="52"/>
    </row>
    <row r="143" spans="1:15">
      <c r="A143" s="52"/>
      <c r="B143" s="52"/>
      <c r="C143" s="52"/>
      <c r="D143" s="52"/>
      <c r="E143" s="52"/>
      <c r="F143" s="52"/>
      <c r="G143" s="52"/>
    </row>
    <row r="144" spans="1:15">
      <c r="A144" s="52"/>
      <c r="B144" s="52"/>
      <c r="C144" s="52"/>
      <c r="D144" s="52"/>
      <c r="E144" s="52"/>
      <c r="F144" s="52"/>
      <c r="G144" s="52"/>
    </row>
    <row r="145" spans="1:7">
      <c r="A145" s="52"/>
      <c r="B145" s="52"/>
      <c r="C145" s="52"/>
      <c r="D145" s="52"/>
      <c r="E145" s="52"/>
      <c r="F145" s="52"/>
      <c r="G145" s="52"/>
    </row>
    <row r="146" spans="1:7">
      <c r="A146" s="52"/>
      <c r="B146" s="52"/>
      <c r="C146" s="52"/>
      <c r="D146" s="52"/>
      <c r="E146" s="52"/>
      <c r="F146" s="52"/>
      <c r="G146" s="52"/>
    </row>
    <row r="147" spans="1:7">
      <c r="A147" s="52"/>
      <c r="B147" s="52"/>
      <c r="C147" s="52"/>
      <c r="D147" s="52"/>
      <c r="E147" s="52"/>
      <c r="F147" s="52"/>
      <c r="G147" s="52"/>
    </row>
    <row r="148" spans="1:7">
      <c r="A148" s="52"/>
      <c r="B148" s="52"/>
      <c r="C148" s="52"/>
      <c r="D148" s="52"/>
      <c r="E148" s="52"/>
      <c r="F148" s="52"/>
      <c r="G148" s="52"/>
    </row>
    <row r="149" spans="1:7">
      <c r="A149" s="52"/>
      <c r="B149" s="52"/>
      <c r="C149" s="52"/>
      <c r="D149" s="52"/>
      <c r="E149" s="52"/>
      <c r="F149" s="52"/>
      <c r="G149" s="52"/>
    </row>
    <row r="150" spans="1:7">
      <c r="A150" s="52"/>
      <c r="B150" s="52"/>
      <c r="C150" s="52"/>
      <c r="D150" s="52"/>
      <c r="E150" s="52"/>
      <c r="F150" s="52"/>
      <c r="G150" s="52"/>
    </row>
    <row r="151" spans="1:7">
      <c r="A151" s="52"/>
      <c r="B151" s="52"/>
      <c r="C151" s="52"/>
      <c r="D151" s="52"/>
      <c r="E151" s="52"/>
      <c r="F151" s="52"/>
      <c r="G151" s="52"/>
    </row>
    <row r="152" spans="1:7">
      <c r="A152" s="52"/>
      <c r="B152" s="52"/>
      <c r="C152" s="52"/>
      <c r="D152" s="52"/>
      <c r="E152" s="52"/>
      <c r="F152" s="52"/>
      <c r="G152" s="52"/>
    </row>
    <row r="153" spans="1:7">
      <c r="A153" s="52"/>
      <c r="B153" s="52"/>
      <c r="C153" s="52"/>
      <c r="D153" s="52"/>
      <c r="E153" s="52"/>
      <c r="F153" s="52"/>
      <c r="G153" s="52"/>
    </row>
    <row r="154" spans="1:7">
      <c r="A154" s="52"/>
      <c r="B154" s="52"/>
      <c r="C154" s="52"/>
      <c r="D154" s="52"/>
      <c r="E154" s="52"/>
      <c r="F154" s="52"/>
      <c r="G154" s="52"/>
    </row>
    <row r="155" spans="1:7">
      <c r="A155" s="52"/>
      <c r="B155" s="52"/>
      <c r="C155" s="52"/>
      <c r="D155" s="52"/>
      <c r="E155" s="52"/>
      <c r="F155" s="52"/>
      <c r="G155" s="52"/>
    </row>
    <row r="156" spans="1:7">
      <c r="A156" s="52"/>
      <c r="B156" s="52"/>
      <c r="C156" s="52"/>
      <c r="D156" s="52"/>
      <c r="E156" s="52"/>
      <c r="F156" s="52"/>
      <c r="G156" s="52"/>
    </row>
    <row r="157" spans="1:7">
      <c r="A157" s="52"/>
      <c r="B157" s="52"/>
      <c r="C157" s="52"/>
      <c r="D157" s="52"/>
      <c r="E157" s="52"/>
      <c r="F157" s="52"/>
      <c r="G157" s="52"/>
    </row>
    <row r="158" spans="1:7">
      <c r="A158" s="52"/>
      <c r="B158" s="52"/>
      <c r="C158" s="52"/>
      <c r="D158" s="52"/>
      <c r="E158" s="52"/>
      <c r="F158" s="52"/>
      <c r="G158" s="52"/>
    </row>
    <row r="159" spans="1:7">
      <c r="A159" s="52"/>
      <c r="B159" s="52"/>
      <c r="C159" s="52"/>
      <c r="D159" s="52"/>
      <c r="E159" s="52"/>
      <c r="F159" s="52"/>
      <c r="G159" s="52"/>
    </row>
    <row r="160" spans="1:7">
      <c r="A160" s="52"/>
      <c r="B160" s="52"/>
      <c r="C160" s="52"/>
      <c r="D160" s="52"/>
      <c r="E160" s="52"/>
      <c r="F160" s="52"/>
      <c r="G160" s="52"/>
    </row>
    <row r="161" spans="1:7">
      <c r="A161" s="52"/>
      <c r="B161" s="52"/>
      <c r="C161" s="52"/>
      <c r="D161" s="52"/>
      <c r="E161" s="52"/>
      <c r="F161" s="52"/>
      <c r="G161" s="52"/>
    </row>
    <row r="162" spans="1:7">
      <c r="A162" s="52"/>
      <c r="B162" s="52"/>
      <c r="C162" s="52"/>
      <c r="D162" s="52"/>
      <c r="E162" s="52"/>
      <c r="F162" s="52"/>
      <c r="G162" s="52"/>
    </row>
    <row r="163" spans="1:7">
      <c r="A163" s="52"/>
      <c r="B163" s="52"/>
      <c r="C163" s="52"/>
      <c r="D163" s="52"/>
      <c r="E163" s="52"/>
      <c r="F163" s="52"/>
      <c r="G163" s="52"/>
    </row>
    <row r="164" spans="1:7">
      <c r="A164" s="52"/>
      <c r="B164" s="52"/>
      <c r="C164" s="52"/>
      <c r="D164" s="52"/>
      <c r="E164" s="52"/>
      <c r="F164" s="52"/>
      <c r="G164" s="52"/>
    </row>
    <row r="165" spans="1:7">
      <c r="A165" s="52"/>
      <c r="B165" s="52"/>
      <c r="C165" s="52"/>
      <c r="D165" s="52"/>
      <c r="E165" s="52"/>
      <c r="F165" s="52"/>
      <c r="G165" s="52"/>
    </row>
    <row r="166" spans="1:7">
      <c r="A166" s="52"/>
      <c r="B166" s="52"/>
      <c r="C166" s="52"/>
      <c r="D166" s="52"/>
      <c r="E166" s="52"/>
      <c r="F166" s="52"/>
      <c r="G166" s="52"/>
    </row>
    <row r="167" spans="1:7">
      <c r="A167" s="52"/>
      <c r="B167" s="52"/>
      <c r="C167" s="52"/>
      <c r="D167" s="52"/>
      <c r="E167" s="52"/>
      <c r="F167" s="52"/>
      <c r="G167" s="52"/>
    </row>
    <row r="168" spans="1:7">
      <c r="A168" s="52"/>
      <c r="B168" s="52"/>
      <c r="C168" s="52"/>
      <c r="D168" s="52"/>
      <c r="E168" s="52"/>
      <c r="F168" s="52"/>
      <c r="G168" s="52"/>
    </row>
    <row r="171" spans="1:7">
      <c r="C171" s="52"/>
      <c r="D171" s="52"/>
      <c r="E171" s="52"/>
      <c r="F171" s="52"/>
      <c r="G171" s="52"/>
    </row>
    <row r="173" spans="1:7">
      <c r="B173" s="52"/>
    </row>
  </sheetData>
  <sheetProtection algorithmName="SHA-512" hashValue="pAPEtONxdZhuyB1en76gToXJqgqPHb6H/AI4CkhdIUzGQXTOmbvsvVgKFK5uSwlUhYHahMT++R1KnGyd9uKiFw==" saltValue="K1DEiPdi7jITVqMyThrJKQ==" spinCount="100000" sheet="1" objects="1" scenarios="1"/>
  <mergeCells count="1">
    <mergeCell ref="C1:J1"/>
  </mergeCells>
  <phoneticPr fontId="22" type="noConversion"/>
  <dataValidations count="3">
    <dataValidation type="decimal" errorStyle="warning" operator="greaterThan" allowBlank="1" showInputMessage="1" showErrorMessage="1" error="Minimum frequency need to be higher than 39kHz." sqref="C111">
      <formula1>39</formula1>
    </dataValidation>
    <dataValidation type="decimal" errorStyle="warning" allowBlank="1" showErrorMessage="1" errorTitle="Input range" error="This input should be within VCOMP.SKP~VCOMP.CLMP1, which means 1.25~4.4." sqref="C115">
      <formula1>1.25</formula1>
      <formula2>4.4</formula2>
    </dataValidation>
    <dataValidation type="whole" allowBlank="1" showInputMessage="1" showErrorMessage="1" error="Please input 0 or 1." sqref="C18:C19">
      <formula1>0</formula1>
      <formula2>1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6" shapeId="1025" r:id="rId4">
          <objectPr defaultSize="0" autoPict="0" r:id="rId5">
            <anchor moveWithCells="1">
              <from>
                <xdr:col>5</xdr:col>
                <xdr:colOff>57150</xdr:colOff>
                <xdr:row>13</xdr:row>
                <xdr:rowOff>57150</xdr:rowOff>
              </from>
              <to>
                <xdr:col>6</xdr:col>
                <xdr:colOff>123825</xdr:colOff>
                <xdr:row>24</xdr:row>
                <xdr:rowOff>28575</xdr:rowOff>
              </to>
            </anchor>
          </objectPr>
        </oleObject>
      </mc:Choice>
      <mc:Fallback>
        <oleObject progId="Visio.Drawing.6" shapeId="1025" r:id="rId4"/>
      </mc:Fallback>
    </mc:AlternateContent>
    <mc:AlternateContent xmlns:mc="http://schemas.openxmlformats.org/markup-compatibility/2006">
      <mc:Choice Requires="x14">
        <oleObject progId="Visio.Drawing.11" shapeId="1026" r:id="rId6">
          <objectPr defaultSize="0" autoPict="0" r:id="rId7">
            <anchor moveWithCells="1" sizeWithCells="1">
              <from>
                <xdr:col>5</xdr:col>
                <xdr:colOff>123825</xdr:colOff>
                <xdr:row>85</xdr:row>
                <xdr:rowOff>76200</xdr:rowOff>
              </from>
              <to>
                <xdr:col>8</xdr:col>
                <xdr:colOff>104775</xdr:colOff>
                <xdr:row>101</xdr:row>
                <xdr:rowOff>152400</xdr:rowOff>
              </to>
            </anchor>
          </objectPr>
        </oleObject>
      </mc:Choice>
      <mc:Fallback>
        <oleObject progId="Visio.Drawing.11" shapeId="1026" r:id="rId6"/>
      </mc:Fallback>
    </mc:AlternateContent>
    <mc:AlternateContent xmlns:mc="http://schemas.openxmlformats.org/markup-compatibility/2006">
      <mc:Choice Requires="x14">
        <oleObject progId="Visio.Drawing.11" shapeId="1036" r:id="rId8">
          <objectPr defaultSize="0" autoPict="0" r:id="rId9">
            <anchor moveWithCells="1" sizeWithCells="1">
              <from>
                <xdr:col>4</xdr:col>
                <xdr:colOff>123825</xdr:colOff>
                <xdr:row>130</xdr:row>
                <xdr:rowOff>28575</xdr:rowOff>
              </from>
              <to>
                <xdr:col>5</xdr:col>
                <xdr:colOff>1962150</xdr:colOff>
                <xdr:row>140</xdr:row>
                <xdr:rowOff>76200</xdr:rowOff>
              </to>
            </anchor>
          </objectPr>
        </oleObject>
      </mc:Choice>
      <mc:Fallback>
        <oleObject progId="Visio.Drawing.11" shapeId="1036" r:id="rId8"/>
      </mc:Fallback>
    </mc:AlternateContent>
    <mc:AlternateContent xmlns:mc="http://schemas.openxmlformats.org/markup-compatibility/2006">
      <mc:Choice Requires="x14">
        <oleObject progId="Visio.Drawing.11" shapeId="1037" r:id="rId10">
          <objectPr defaultSize="0" autoPict="0" r:id="rId11">
            <anchor moveWithCells="1" sizeWithCells="1">
              <from>
                <xdr:col>5</xdr:col>
                <xdr:colOff>171450</xdr:colOff>
                <xdr:row>120</xdr:row>
                <xdr:rowOff>28575</xdr:rowOff>
              </from>
              <to>
                <xdr:col>5</xdr:col>
                <xdr:colOff>2114550</xdr:colOff>
                <xdr:row>129</xdr:row>
                <xdr:rowOff>152400</xdr:rowOff>
              </to>
            </anchor>
          </objectPr>
        </oleObject>
      </mc:Choice>
      <mc:Fallback>
        <oleObject progId="Visio.Drawing.11" shapeId="1037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10"/>
  <sheetViews>
    <sheetView zoomScale="70" zoomScaleNormal="70" workbookViewId="0">
      <selection activeCell="L35" sqref="L35"/>
    </sheetView>
  </sheetViews>
  <sheetFormatPr defaultRowHeight="15"/>
  <sheetData>
    <row r="2" spans="1:35">
      <c r="A2" t="s">
        <v>169</v>
      </c>
      <c r="S2" t="s">
        <v>170</v>
      </c>
    </row>
    <row r="3" spans="1:35">
      <c r="A3" s="55" t="s">
        <v>124</v>
      </c>
      <c r="B3" s="55"/>
      <c r="C3" s="55"/>
      <c r="D3" s="55" t="s">
        <v>125</v>
      </c>
      <c r="E3" s="55" t="s">
        <v>126</v>
      </c>
      <c r="F3" s="55" t="s">
        <v>127</v>
      </c>
      <c r="G3" s="55" t="s">
        <v>128</v>
      </c>
      <c r="H3" s="55" t="s">
        <v>129</v>
      </c>
      <c r="I3" s="55" t="s">
        <v>130</v>
      </c>
      <c r="J3" s="55" t="s">
        <v>131</v>
      </c>
      <c r="K3" s="55" t="s">
        <v>132</v>
      </c>
      <c r="L3" s="55" t="s">
        <v>133</v>
      </c>
      <c r="M3" s="55" t="s">
        <v>134</v>
      </c>
      <c r="N3" s="55" t="s">
        <v>135</v>
      </c>
      <c r="O3" s="55" t="s">
        <v>136</v>
      </c>
      <c r="P3" s="55" t="s">
        <v>164</v>
      </c>
      <c r="Q3" s="55" t="s">
        <v>165</v>
      </c>
      <c r="S3" s="55" t="s">
        <v>137</v>
      </c>
      <c r="T3" s="55"/>
      <c r="U3" s="55"/>
      <c r="V3" s="55" t="s">
        <v>138</v>
      </c>
      <c r="W3" s="55" t="s">
        <v>139</v>
      </c>
      <c r="X3" s="55" t="s">
        <v>140</v>
      </c>
      <c r="Y3" s="55" t="s">
        <v>141</v>
      </c>
      <c r="Z3" s="55" t="s">
        <v>129</v>
      </c>
      <c r="AA3" s="55" t="s">
        <v>130</v>
      </c>
      <c r="AB3" s="55" t="s">
        <v>142</v>
      </c>
      <c r="AC3" s="55" t="s">
        <v>143</v>
      </c>
      <c r="AD3" s="55" t="s">
        <v>133</v>
      </c>
      <c r="AE3" s="55" t="s">
        <v>134</v>
      </c>
      <c r="AF3" s="55" t="s">
        <v>135</v>
      </c>
      <c r="AG3" s="55" t="s">
        <v>136</v>
      </c>
      <c r="AH3" s="55" t="s">
        <v>164</v>
      </c>
      <c r="AI3" s="55" t="s">
        <v>165</v>
      </c>
    </row>
    <row r="5" spans="1:35">
      <c r="A5" s="56">
        <v>1.2</v>
      </c>
      <c r="B5" s="56"/>
      <c r="C5" s="56"/>
      <c r="D5" s="56">
        <v>1.373</v>
      </c>
      <c r="E5" s="56">
        <v>1.2789999999999999</v>
      </c>
      <c r="F5" s="56">
        <v>1.2210000000000001</v>
      </c>
      <c r="G5" s="56">
        <v>1.1830000000000001</v>
      </c>
      <c r="H5" s="56">
        <v>1.1559999999999999</v>
      </c>
      <c r="I5" s="56">
        <v>1.135</v>
      </c>
      <c r="J5" s="56">
        <v>1.107</v>
      </c>
      <c r="K5" s="56">
        <v>1.0880000000000001</v>
      </c>
      <c r="L5" s="56">
        <v>1.075</v>
      </c>
      <c r="M5" s="56">
        <v>1.0649999999999999</v>
      </c>
      <c r="N5" s="56">
        <v>1.0580000000000001</v>
      </c>
      <c r="O5" s="56">
        <v>1.0469999999999999</v>
      </c>
      <c r="P5" s="56">
        <v>1.04</v>
      </c>
      <c r="Q5" s="56">
        <v>1.034</v>
      </c>
      <c r="S5" s="56">
        <v>1.2</v>
      </c>
      <c r="T5" s="56"/>
      <c r="U5" s="56"/>
      <c r="V5" s="56">
        <v>1.0640000000000001</v>
      </c>
      <c r="W5" s="56">
        <v>1.044</v>
      </c>
      <c r="X5" s="56">
        <v>1.032</v>
      </c>
      <c r="Y5" s="56">
        <v>1.024</v>
      </c>
      <c r="Z5" s="56">
        <v>1.0189999999999999</v>
      </c>
      <c r="AA5" s="56">
        <v>1.0149999999999999</v>
      </c>
      <c r="AB5" s="56">
        <v>1.0109999999999999</v>
      </c>
      <c r="AC5" s="56">
        <v>1.008</v>
      </c>
      <c r="AD5" s="56">
        <v>1.006</v>
      </c>
      <c r="AE5" s="56">
        <v>1.004</v>
      </c>
      <c r="AF5" s="56">
        <v>1.004</v>
      </c>
      <c r="AG5" s="56">
        <v>1.0029999999999999</v>
      </c>
      <c r="AH5" s="56">
        <v>1.002</v>
      </c>
      <c r="AI5" s="56">
        <v>1.0009999999999999</v>
      </c>
    </row>
    <row r="6" spans="1:35">
      <c r="A6" s="57">
        <v>1.1000000000000001</v>
      </c>
      <c r="B6" s="57"/>
      <c r="C6" s="57"/>
      <c r="D6" s="57">
        <v>1.391</v>
      </c>
      <c r="E6" s="57">
        <v>1.2909999999999999</v>
      </c>
      <c r="F6" s="57">
        <v>1.23</v>
      </c>
      <c r="G6" s="57">
        <v>1.1890000000000001</v>
      </c>
      <c r="H6" s="57">
        <v>1.1599999999999999</v>
      </c>
      <c r="I6" s="57">
        <v>1.139</v>
      </c>
      <c r="J6" s="57">
        <v>1.1100000000000001</v>
      </c>
      <c r="K6" s="57">
        <v>1.0900000000000001</v>
      </c>
      <c r="L6" s="57">
        <v>1.077</v>
      </c>
      <c r="M6" s="57">
        <v>1.0660000000000001</v>
      </c>
      <c r="N6" s="57">
        <v>1.0589999999999999</v>
      </c>
      <c r="O6" s="57">
        <v>1.048</v>
      </c>
      <c r="P6" s="57">
        <v>1.04</v>
      </c>
      <c r="Q6" s="57">
        <v>1.0349999999999999</v>
      </c>
      <c r="S6" s="57">
        <v>1.1000000000000001</v>
      </c>
      <c r="T6" s="57"/>
      <c r="U6" s="57"/>
      <c r="V6" s="57">
        <v>1.077</v>
      </c>
      <c r="W6" s="57">
        <v>1.054</v>
      </c>
      <c r="X6" s="57">
        <v>1.0389999999999999</v>
      </c>
      <c r="Y6" s="57">
        <v>1.03</v>
      </c>
      <c r="Z6" s="57">
        <v>1.0229999999999999</v>
      </c>
      <c r="AA6" s="57">
        <v>1.0189999999999999</v>
      </c>
      <c r="AB6" s="57">
        <v>1.0129999999999999</v>
      </c>
      <c r="AC6" s="57">
        <v>1.0089999999999999</v>
      </c>
      <c r="AD6" s="57">
        <v>1.0069999999999999</v>
      </c>
      <c r="AE6" s="57">
        <v>1.006</v>
      </c>
      <c r="AF6" s="57">
        <v>1.004</v>
      </c>
      <c r="AG6" s="57">
        <v>1.0029999999999999</v>
      </c>
      <c r="AH6" s="57">
        <v>1.002</v>
      </c>
      <c r="AI6" s="57">
        <v>1.002</v>
      </c>
    </row>
    <row r="7" spans="1:35">
      <c r="A7" s="56">
        <v>1</v>
      </c>
      <c r="B7" s="56"/>
      <c r="C7" s="56"/>
      <c r="D7" s="56">
        <v>1.4159999999999999</v>
      </c>
      <c r="E7" s="56">
        <v>1.3080000000000001</v>
      </c>
      <c r="F7" s="56">
        <v>1.2410000000000001</v>
      </c>
      <c r="G7" s="56">
        <v>1.198</v>
      </c>
      <c r="H7" s="56">
        <v>1.167</v>
      </c>
      <c r="I7" s="56">
        <v>1.1439999999999999</v>
      </c>
      <c r="J7" s="56">
        <v>1.1180000000000001</v>
      </c>
      <c r="K7" s="56">
        <v>1.093</v>
      </c>
      <c r="L7" s="56">
        <v>1.0780000000000001</v>
      </c>
      <c r="M7" s="56">
        <v>1.0680000000000001</v>
      </c>
      <c r="N7" s="56">
        <v>1.06</v>
      </c>
      <c r="O7" s="56">
        <v>1.048</v>
      </c>
      <c r="P7" s="56">
        <v>1.04</v>
      </c>
      <c r="Q7" s="56">
        <v>1.0349999999999999</v>
      </c>
      <c r="S7" s="56">
        <v>1</v>
      </c>
      <c r="T7" s="56"/>
      <c r="U7" s="56"/>
      <c r="V7" s="56">
        <v>1.097</v>
      </c>
      <c r="W7" s="56">
        <v>1.0680000000000001</v>
      </c>
      <c r="X7" s="56">
        <v>1.0489999999999999</v>
      </c>
      <c r="Y7" s="56">
        <v>1.0369999999999999</v>
      </c>
      <c r="Z7" s="56">
        <v>1.0289999999999999</v>
      </c>
      <c r="AA7" s="56">
        <v>1.0229999999999999</v>
      </c>
      <c r="AB7" s="56">
        <v>1.016</v>
      </c>
      <c r="AC7" s="56">
        <v>1.012</v>
      </c>
      <c r="AD7" s="56">
        <v>1.0089999999999999</v>
      </c>
      <c r="AE7" s="56">
        <v>1.0069999999999999</v>
      </c>
      <c r="AF7" s="56">
        <v>1.0049999999999999</v>
      </c>
      <c r="AG7" s="56">
        <v>1.004</v>
      </c>
      <c r="AH7" s="56">
        <v>1.0029999999999999</v>
      </c>
      <c r="AI7" s="56">
        <v>1.002</v>
      </c>
    </row>
    <row r="8" spans="1:35">
      <c r="A8" s="58">
        <v>0.9</v>
      </c>
      <c r="B8" s="58"/>
      <c r="C8" s="58"/>
      <c r="D8" s="58">
        <v>1.45</v>
      </c>
      <c r="E8" s="58">
        <v>1.331</v>
      </c>
      <c r="F8" s="58">
        <v>1.2589999999999999</v>
      </c>
      <c r="G8" s="58">
        <v>1.2110000000000001</v>
      </c>
      <c r="H8" s="58">
        <v>1.177</v>
      </c>
      <c r="I8" s="58">
        <v>1.1519999999999999</v>
      </c>
      <c r="J8" s="58">
        <v>1.1180000000000001</v>
      </c>
      <c r="K8" s="58">
        <v>1.0960000000000001</v>
      </c>
      <c r="L8" s="58">
        <v>1.081</v>
      </c>
      <c r="M8" s="58">
        <v>1.07</v>
      </c>
      <c r="N8" s="58">
        <v>1.0609999999999999</v>
      </c>
      <c r="O8" s="58">
        <v>1.0489999999999999</v>
      </c>
      <c r="P8" s="58">
        <v>1.0409999999999999</v>
      </c>
      <c r="Q8" s="58">
        <v>1.0349999999999999</v>
      </c>
      <c r="S8" s="58">
        <v>0.9</v>
      </c>
      <c r="T8" s="58"/>
      <c r="U8" s="58"/>
      <c r="V8" s="58">
        <v>1.123</v>
      </c>
      <c r="W8" s="58">
        <v>1.087</v>
      </c>
      <c r="X8" s="58">
        <v>1.0640000000000001</v>
      </c>
      <c r="Y8" s="58">
        <v>1.048</v>
      </c>
      <c r="Z8" s="58">
        <v>1.038</v>
      </c>
      <c r="AA8" s="58">
        <v>1.03</v>
      </c>
      <c r="AB8" s="58">
        <v>1.02</v>
      </c>
      <c r="AC8" s="58">
        <v>1.0149999999999999</v>
      </c>
      <c r="AD8" s="58">
        <v>1.0109999999999999</v>
      </c>
      <c r="AE8" s="58">
        <v>1.0089999999999999</v>
      </c>
      <c r="AF8" s="58">
        <v>1.0069999999999999</v>
      </c>
      <c r="AG8" s="58">
        <v>1.0049999999999999</v>
      </c>
      <c r="AH8" s="58">
        <v>1.0029999999999999</v>
      </c>
      <c r="AI8" s="58">
        <v>1.002</v>
      </c>
    </row>
    <row r="9" spans="1:35">
      <c r="A9" s="56">
        <v>0.8</v>
      </c>
      <c r="B9" s="56"/>
      <c r="C9" s="56"/>
      <c r="D9" s="56">
        <v>1.502</v>
      </c>
      <c r="E9" s="56">
        <v>1.3680000000000001</v>
      </c>
      <c r="F9" s="56">
        <v>1.2849999999999999</v>
      </c>
      <c r="G9" s="56">
        <v>1.23</v>
      </c>
      <c r="H9" s="56">
        <v>1.1919999999999999</v>
      </c>
      <c r="I9" s="56">
        <v>1.163</v>
      </c>
      <c r="J9" s="56">
        <v>1.125</v>
      </c>
      <c r="K9" s="56">
        <v>1.101</v>
      </c>
      <c r="L9" s="56">
        <v>1.085</v>
      </c>
      <c r="M9" s="56">
        <v>1.073</v>
      </c>
      <c r="N9" s="56">
        <v>1.0640000000000001</v>
      </c>
      <c r="O9" s="56">
        <v>1.0509999999999999</v>
      </c>
      <c r="P9" s="56">
        <v>1.042</v>
      </c>
      <c r="Q9" s="56">
        <v>1.036</v>
      </c>
      <c r="S9" s="56">
        <v>0.8</v>
      </c>
      <c r="T9" s="56"/>
      <c r="U9" s="56"/>
      <c r="V9" s="56">
        <v>1.163</v>
      </c>
      <c r="W9" s="56">
        <v>1.117</v>
      </c>
      <c r="X9" s="56">
        <v>1.0860000000000001</v>
      </c>
      <c r="Y9" s="56">
        <v>1.0649999999999999</v>
      </c>
      <c r="Z9" s="56">
        <v>1.0509999999999999</v>
      </c>
      <c r="AA9" s="56">
        <v>1.0409999999999999</v>
      </c>
      <c r="AB9" s="56">
        <v>1.0269999999999999</v>
      </c>
      <c r="AC9" s="56">
        <v>1.02</v>
      </c>
      <c r="AD9" s="56">
        <v>1.0149999999999999</v>
      </c>
      <c r="AE9" s="56">
        <v>1.0109999999999999</v>
      </c>
      <c r="AF9" s="56">
        <v>1.0089999999999999</v>
      </c>
      <c r="AG9" s="56">
        <v>1.006</v>
      </c>
      <c r="AH9" s="56">
        <v>1.004</v>
      </c>
      <c r="AI9" s="56">
        <v>1.0029999999999999</v>
      </c>
    </row>
    <row r="10" spans="1:35">
      <c r="A10" s="58">
        <v>0.7</v>
      </c>
      <c r="B10" s="58"/>
      <c r="C10" s="58"/>
      <c r="D10" s="58">
        <v>1.5820000000000001</v>
      </c>
      <c r="E10" s="58">
        <v>1.4259999999999999</v>
      </c>
      <c r="F10" s="58">
        <v>1.3280000000000001</v>
      </c>
      <c r="G10" s="58">
        <v>1.2629999999999999</v>
      </c>
      <c r="H10" s="58">
        <v>1.2170000000000001</v>
      </c>
      <c r="I10" s="58">
        <v>1.1830000000000001</v>
      </c>
      <c r="J10" s="58">
        <v>1.1379999999999999</v>
      </c>
      <c r="K10" s="58">
        <v>1.1100000000000001</v>
      </c>
      <c r="L10" s="58">
        <v>1.091</v>
      </c>
      <c r="M10" s="58">
        <v>1.077</v>
      </c>
      <c r="N10" s="58">
        <v>1.0669999999999999</v>
      </c>
      <c r="O10" s="58">
        <v>1.0529999999999999</v>
      </c>
      <c r="P10" s="56">
        <v>1.044</v>
      </c>
      <c r="Q10" s="56">
        <v>1.0369999999999999</v>
      </c>
      <c r="S10" s="58">
        <v>0.7</v>
      </c>
      <c r="T10" s="58"/>
      <c r="U10" s="58"/>
      <c r="V10" s="58">
        <v>1.2250000000000001</v>
      </c>
      <c r="W10" s="58">
        <v>1.1639999999999999</v>
      </c>
      <c r="X10" s="58">
        <v>1.123</v>
      </c>
      <c r="Y10" s="58">
        <v>1.0940000000000001</v>
      </c>
      <c r="Z10" s="58">
        <v>1.073</v>
      </c>
      <c r="AA10" s="58">
        <v>1.0580000000000001</v>
      </c>
      <c r="AB10" s="58">
        <v>1.0389999999999999</v>
      </c>
      <c r="AC10" s="58">
        <v>1.028</v>
      </c>
      <c r="AD10" s="58">
        <v>1.02</v>
      </c>
      <c r="AE10" s="58">
        <v>1.016</v>
      </c>
      <c r="AF10" s="58">
        <v>1.012</v>
      </c>
      <c r="AG10" s="58">
        <v>1.008</v>
      </c>
      <c r="AH10" s="58">
        <v>1.006</v>
      </c>
      <c r="AI10" s="56">
        <v>1.0049999999999999</v>
      </c>
    </row>
    <row r="11" spans="1:35">
      <c r="A11" s="56">
        <v>0.6</v>
      </c>
      <c r="B11" s="56"/>
      <c r="C11" s="56"/>
      <c r="D11" s="56">
        <v>1.7070000000000001</v>
      </c>
      <c r="E11" s="56">
        <v>1.5229999999999999</v>
      </c>
      <c r="F11" s="56">
        <v>1.4039999999999999</v>
      </c>
      <c r="G11" s="56">
        <v>1.3220000000000001</v>
      </c>
      <c r="H11" s="56">
        <v>1.2629999999999999</v>
      </c>
      <c r="I11" s="56">
        <v>1.22</v>
      </c>
      <c r="J11" s="56">
        <v>1.1619999999999999</v>
      </c>
      <c r="K11" s="56">
        <v>1.1259999999999999</v>
      </c>
      <c r="L11" s="56">
        <v>1.1020000000000001</v>
      </c>
      <c r="M11" s="56">
        <v>1.0860000000000001</v>
      </c>
      <c r="N11" s="56">
        <v>1.0740000000000001</v>
      </c>
      <c r="O11" s="56">
        <v>1.0569999999999999</v>
      </c>
      <c r="P11" s="56">
        <v>1.0469999999999999</v>
      </c>
      <c r="Q11" s="56">
        <v>1.0389999999999999</v>
      </c>
      <c r="S11" s="56">
        <v>0.6</v>
      </c>
      <c r="T11" s="56"/>
      <c r="U11" s="56"/>
      <c r="V11" s="56">
        <v>1.3220000000000001</v>
      </c>
      <c r="W11" s="56">
        <v>1.2430000000000001</v>
      </c>
      <c r="X11" s="56">
        <v>1.1859999999999999</v>
      </c>
      <c r="Y11" s="56">
        <v>1.145</v>
      </c>
      <c r="Z11" s="56">
        <v>1.1140000000000001</v>
      </c>
      <c r="AA11" s="56">
        <v>1.091</v>
      </c>
      <c r="AB11" s="56">
        <v>1.0609999999999999</v>
      </c>
      <c r="AC11" s="56">
        <v>1.042</v>
      </c>
      <c r="AD11" s="56">
        <v>1.0309999999999999</v>
      </c>
      <c r="AE11" s="56">
        <v>1.024</v>
      </c>
      <c r="AF11" s="56">
        <v>1.0189999999999999</v>
      </c>
      <c r="AG11" s="56">
        <v>1.012</v>
      </c>
      <c r="AH11" s="56">
        <v>1.008</v>
      </c>
      <c r="AI11" s="56">
        <v>1.006</v>
      </c>
    </row>
    <row r="12" spans="1:35">
      <c r="A12" s="58">
        <v>0.5</v>
      </c>
      <c r="B12" s="58"/>
      <c r="C12" s="58"/>
      <c r="D12" s="58">
        <v>1.9119999999999999</v>
      </c>
      <c r="E12" s="58">
        <v>1.6879999999999999</v>
      </c>
      <c r="F12" s="58">
        <v>1.54</v>
      </c>
      <c r="G12" s="58">
        <v>1.4350000000000001</v>
      </c>
      <c r="H12" s="58">
        <v>1.3580000000000001</v>
      </c>
      <c r="I12" s="58">
        <v>1.298</v>
      </c>
      <c r="J12" s="58">
        <v>1.216</v>
      </c>
      <c r="K12" s="58">
        <v>1.163</v>
      </c>
      <c r="L12" s="58">
        <v>1.1279999999999999</v>
      </c>
      <c r="M12" s="58">
        <v>1.1040000000000001</v>
      </c>
      <c r="N12" s="58">
        <v>1.0880000000000001</v>
      </c>
      <c r="O12" s="58">
        <v>1.0660000000000001</v>
      </c>
      <c r="P12" s="56">
        <v>1.052</v>
      </c>
      <c r="Q12" s="56">
        <v>1.0429999999999999</v>
      </c>
      <c r="S12" s="58">
        <v>0.5</v>
      </c>
      <c r="T12" s="58"/>
      <c r="U12" s="58"/>
      <c r="V12" s="58">
        <v>1.4810000000000001</v>
      </c>
      <c r="W12" s="58">
        <v>1.3779999999999999</v>
      </c>
      <c r="X12" s="58">
        <v>1.3009999999999999</v>
      </c>
      <c r="Y12" s="58">
        <v>1.2430000000000001</v>
      </c>
      <c r="Z12" s="58">
        <v>1.1970000000000001</v>
      </c>
      <c r="AA12" s="58">
        <v>1.161</v>
      </c>
      <c r="AB12" s="58">
        <v>1.1000000000000001</v>
      </c>
      <c r="AC12" s="58">
        <v>1.077</v>
      </c>
      <c r="AD12" s="58">
        <v>1.0549999999999999</v>
      </c>
      <c r="AE12" s="58">
        <v>1.0409999999999999</v>
      </c>
      <c r="AF12" s="58">
        <v>1.032</v>
      </c>
      <c r="AG12" s="58">
        <v>1.02</v>
      </c>
      <c r="AH12" s="58">
        <v>1.01</v>
      </c>
      <c r="AI12" s="56">
        <v>1.01</v>
      </c>
    </row>
    <row r="13" spans="1:35">
      <c r="A13" s="56">
        <v>0.4</v>
      </c>
      <c r="B13" s="56"/>
      <c r="C13" s="56"/>
      <c r="D13" s="56">
        <v>2.2559999999999998</v>
      </c>
      <c r="E13" s="56">
        <v>1.976</v>
      </c>
      <c r="F13" s="56">
        <v>1.788</v>
      </c>
      <c r="G13" s="56">
        <v>1.6519999999999999</v>
      </c>
      <c r="H13" s="56">
        <v>1.548</v>
      </c>
      <c r="I13" s="56">
        <v>1.4670000000000001</v>
      </c>
      <c r="J13" s="56">
        <v>1.3480000000000001</v>
      </c>
      <c r="K13" s="56">
        <v>1.2649999999999999</v>
      </c>
      <c r="L13" s="56">
        <v>1.206</v>
      </c>
      <c r="M13" s="56">
        <v>1.163</v>
      </c>
      <c r="N13" s="56">
        <v>1.131</v>
      </c>
      <c r="O13" s="56">
        <v>1.091</v>
      </c>
      <c r="P13" s="56">
        <v>1.0680000000000001</v>
      </c>
      <c r="Q13" s="56">
        <v>1.054</v>
      </c>
      <c r="S13" s="56">
        <v>0.4</v>
      </c>
      <c r="T13" s="56"/>
      <c r="U13" s="56"/>
      <c r="V13" s="56">
        <v>1.748</v>
      </c>
      <c r="W13" s="56">
        <v>1.6140000000000001</v>
      </c>
      <c r="X13" s="56">
        <v>1.5109999999999999</v>
      </c>
      <c r="Y13" s="56">
        <v>1.431</v>
      </c>
      <c r="Z13" s="56">
        <v>1.3660000000000001</v>
      </c>
      <c r="AA13" s="56">
        <v>1.3120000000000001</v>
      </c>
      <c r="AB13" s="56">
        <v>1.23</v>
      </c>
      <c r="AC13" s="56">
        <v>1.171</v>
      </c>
      <c r="AD13" s="56">
        <v>1.1279999999999999</v>
      </c>
      <c r="AE13" s="56">
        <v>1.0960000000000001</v>
      </c>
      <c r="AF13" s="56">
        <v>1.073</v>
      </c>
      <c r="AG13" s="56">
        <v>1.044</v>
      </c>
      <c r="AH13" s="56">
        <v>1.0289999999999999</v>
      </c>
      <c r="AI13" s="56">
        <v>1.02</v>
      </c>
    </row>
    <row r="14" spans="1:35">
      <c r="A14" s="58">
        <v>0.3</v>
      </c>
      <c r="B14" s="58"/>
      <c r="C14" s="58"/>
      <c r="D14" s="58">
        <v>2.8759999999999999</v>
      </c>
      <c r="E14" s="58">
        <v>2.5070000000000001</v>
      </c>
      <c r="F14" s="58">
        <v>2.2559999999999998</v>
      </c>
      <c r="G14" s="58">
        <v>2.0710000000000002</v>
      </c>
      <c r="H14" s="58">
        <v>1.93</v>
      </c>
      <c r="I14" s="58">
        <v>1.8160000000000001</v>
      </c>
      <c r="J14" s="58">
        <v>1.6459999999999999</v>
      </c>
      <c r="K14" s="58">
        <v>1.5229999999999999</v>
      </c>
      <c r="L14" s="58">
        <v>1.43</v>
      </c>
      <c r="M14" s="58">
        <v>1.357</v>
      </c>
      <c r="N14" s="58">
        <v>1.2989999999999999</v>
      </c>
      <c r="O14" s="58">
        <v>1.212</v>
      </c>
      <c r="P14" s="56">
        <v>1.1519999999999999</v>
      </c>
      <c r="Q14" s="56">
        <v>1.1100000000000001</v>
      </c>
      <c r="S14" s="58">
        <v>0.3</v>
      </c>
      <c r="T14" s="58"/>
      <c r="U14" s="58"/>
      <c r="V14" s="58">
        <v>2.2280000000000002</v>
      </c>
      <c r="W14" s="58">
        <v>2.0470000000000002</v>
      </c>
      <c r="X14" s="58">
        <v>1.9059999999999999</v>
      </c>
      <c r="Y14" s="58">
        <v>1.794</v>
      </c>
      <c r="Z14" s="58">
        <v>1.702</v>
      </c>
      <c r="AA14" s="58">
        <v>1.6240000000000001</v>
      </c>
      <c r="AB14" s="58">
        <v>1.5029999999999999</v>
      </c>
      <c r="AC14" s="58">
        <v>1.41</v>
      </c>
      <c r="AD14" s="58">
        <v>1.3380000000000001</v>
      </c>
      <c r="AE14" s="58">
        <v>1.2789999999999999</v>
      </c>
      <c r="AF14" s="58">
        <v>1.232</v>
      </c>
      <c r="AG14" s="58">
        <v>1.1599999999999999</v>
      </c>
      <c r="AH14" s="58">
        <v>1.1100000000000001</v>
      </c>
      <c r="AI14" s="56">
        <v>1.075</v>
      </c>
    </row>
    <row r="15" spans="1:35">
      <c r="A15" s="56">
        <v>0.2</v>
      </c>
      <c r="B15" s="56"/>
      <c r="C15" s="56"/>
      <c r="D15" s="56">
        <v>4.1829999999999998</v>
      </c>
      <c r="E15" s="56">
        <v>3.629</v>
      </c>
      <c r="F15" s="56">
        <v>3.2549999999999999</v>
      </c>
      <c r="G15" s="56">
        <v>2.9769999999999999</v>
      </c>
      <c r="H15" s="56">
        <v>2.766</v>
      </c>
      <c r="I15" s="56">
        <v>2.5939999999999999</v>
      </c>
      <c r="J15" s="56">
        <v>2.3319999999999999</v>
      </c>
      <c r="K15" s="56">
        <v>2.14</v>
      </c>
      <c r="L15" s="56">
        <v>1.9930000000000001</v>
      </c>
      <c r="M15" s="56">
        <v>1.8740000000000001</v>
      </c>
      <c r="N15" s="56">
        <v>1.7769999999999999</v>
      </c>
      <c r="O15" s="56">
        <v>1.6259999999999999</v>
      </c>
      <c r="P15" s="56">
        <v>1.5129999999999999</v>
      </c>
      <c r="Q15" s="56">
        <v>1.4259999999999999</v>
      </c>
      <c r="S15" s="56">
        <v>0.2</v>
      </c>
      <c r="T15" s="56"/>
      <c r="U15" s="56"/>
      <c r="V15" s="56">
        <v>3.24</v>
      </c>
      <c r="W15" s="56">
        <v>2.9630000000000001</v>
      </c>
      <c r="X15" s="56">
        <v>2.7509999999999999</v>
      </c>
      <c r="Y15" s="56">
        <v>2.5779999999999998</v>
      </c>
      <c r="Z15" s="56">
        <v>2.4390000000000001</v>
      </c>
      <c r="AA15" s="56">
        <v>2.3199999999999998</v>
      </c>
      <c r="AB15" s="56">
        <v>2.129</v>
      </c>
      <c r="AC15" s="56">
        <v>1.982</v>
      </c>
      <c r="AD15" s="56">
        <v>1.8640000000000001</v>
      </c>
      <c r="AE15" s="56">
        <v>1.7669999999999999</v>
      </c>
      <c r="AF15" s="56">
        <v>1.6850000000000001</v>
      </c>
      <c r="AG15" s="56">
        <v>1.556</v>
      </c>
      <c r="AH15" s="56">
        <v>1.458</v>
      </c>
      <c r="AI15" s="56">
        <v>1.38</v>
      </c>
    </row>
    <row r="16" spans="1:35">
      <c r="A16" s="58">
        <v>0.1</v>
      </c>
      <c r="D16" s="58">
        <v>8.2149999999999999</v>
      </c>
      <c r="E16" s="58">
        <v>7.0659999999999998</v>
      </c>
      <c r="F16" s="58">
        <v>6.3579999999999997</v>
      </c>
      <c r="G16" s="58">
        <v>5.806</v>
      </c>
      <c r="H16" s="58">
        <v>5.3890000000000002</v>
      </c>
      <c r="I16" s="58">
        <v>5.0449999999999999</v>
      </c>
      <c r="J16" s="58">
        <v>4.508</v>
      </c>
      <c r="K16" s="58">
        <v>4.1289999999999996</v>
      </c>
      <c r="L16" s="58">
        <v>3.8279999999999998</v>
      </c>
      <c r="M16" s="58">
        <v>3.5830000000000002</v>
      </c>
      <c r="N16" s="58">
        <v>3.3839999999999999</v>
      </c>
      <c r="O16" s="58">
        <v>3.069</v>
      </c>
      <c r="P16" s="56">
        <v>2.8279999999999998</v>
      </c>
      <c r="Q16" s="56">
        <v>2.5110000000000001</v>
      </c>
      <c r="S16" s="58">
        <v>0.1</v>
      </c>
      <c r="V16" s="58">
        <v>6.3630000000000004</v>
      </c>
      <c r="W16">
        <v>5.7690000000000001</v>
      </c>
      <c r="X16" s="58">
        <v>5.3739999999999997</v>
      </c>
      <c r="Y16">
        <v>5.0279999999999996</v>
      </c>
      <c r="Z16" s="58">
        <v>4.7530000000000001</v>
      </c>
      <c r="AA16" s="58">
        <v>4.5119999999999996</v>
      </c>
      <c r="AB16" s="58">
        <v>4.1150000000000002</v>
      </c>
      <c r="AC16">
        <v>3.8220000000000001</v>
      </c>
      <c r="AD16" s="58">
        <v>3.58</v>
      </c>
      <c r="AE16" s="58">
        <v>3.3780000000000001</v>
      </c>
      <c r="AF16" s="58">
        <v>3.21</v>
      </c>
      <c r="AG16" s="58">
        <v>2.9390000000000001</v>
      </c>
      <c r="AH16" s="58">
        <v>2.7250000000000001</v>
      </c>
      <c r="AI16" s="56">
        <v>2.431</v>
      </c>
    </row>
    <row r="18" spans="1:29">
      <c r="D18" t="s">
        <v>176</v>
      </c>
    </row>
    <row r="26" spans="1:29">
      <c r="A26" s="55" t="s">
        <v>124</v>
      </c>
      <c r="B26" s="55"/>
      <c r="C26" s="55"/>
      <c r="D26" s="55" t="s">
        <v>125</v>
      </c>
      <c r="E26" s="55" t="s">
        <v>126</v>
      </c>
      <c r="F26" s="55" t="s">
        <v>127</v>
      </c>
      <c r="G26" s="55" t="s">
        <v>128</v>
      </c>
      <c r="H26" s="55" t="s">
        <v>129</v>
      </c>
      <c r="I26" s="55" t="s">
        <v>130</v>
      </c>
      <c r="J26" s="55" t="s">
        <v>131</v>
      </c>
      <c r="K26" s="55" t="s">
        <v>132</v>
      </c>
      <c r="L26" s="55" t="s">
        <v>133</v>
      </c>
      <c r="M26" s="55" t="s">
        <v>134</v>
      </c>
      <c r="N26" s="55" t="s">
        <v>135</v>
      </c>
      <c r="O26" s="55" t="s">
        <v>136</v>
      </c>
      <c r="P26" s="55" t="s">
        <v>164</v>
      </c>
      <c r="Q26" s="55" t="s">
        <v>165</v>
      </c>
      <c r="R26" s="55" t="s">
        <v>171</v>
      </c>
    </row>
    <row r="28" spans="1:29">
      <c r="A28" s="56">
        <v>1.2</v>
      </c>
      <c r="B28" s="56"/>
      <c r="C28" s="56"/>
      <c r="D28" s="56">
        <f t="shared" ref="D28:D39" si="0">IF(answer, D5,V5)</f>
        <v>1.373</v>
      </c>
      <c r="E28" s="56">
        <f t="shared" ref="E28:E39" si="1">IF(answer, E5,W5)</f>
        <v>1.2789999999999999</v>
      </c>
      <c r="F28" s="56">
        <f t="shared" ref="F28:F39" si="2">IF(answer, F5,X5)</f>
        <v>1.2210000000000001</v>
      </c>
      <c r="G28" s="56">
        <f t="shared" ref="G28:G39" si="3">IF(answer, G5,Y5)</f>
        <v>1.1830000000000001</v>
      </c>
      <c r="H28" s="56">
        <f t="shared" ref="H28:H39" si="4">IF(answer, H5,Z5)</f>
        <v>1.1559999999999999</v>
      </c>
      <c r="I28" s="56">
        <f t="shared" ref="I28:I39" si="5">IF(answer, I5,AA5)</f>
        <v>1.135</v>
      </c>
      <c r="J28" s="56">
        <f t="shared" ref="J28:J39" si="6">IF(answer, J5,AB5)</f>
        <v>1.107</v>
      </c>
      <c r="K28" s="56">
        <f t="shared" ref="K28:K39" si="7">IF(answer, K5,AC5)</f>
        <v>1.0880000000000001</v>
      </c>
      <c r="L28" s="56">
        <f t="shared" ref="L28:L39" si="8">IF(answer, L5,AD5)</f>
        <v>1.075</v>
      </c>
      <c r="M28" s="56">
        <f t="shared" ref="M28:M39" si="9">IF(answer, M5,AE5)</f>
        <v>1.0649999999999999</v>
      </c>
      <c r="N28" s="56">
        <f t="shared" ref="N28:N39" si="10">IF(answer, N5,AF5)</f>
        <v>1.0580000000000001</v>
      </c>
      <c r="O28" s="56">
        <f t="shared" ref="O28:O39" si="11">IF(answer,O5,AG5)</f>
        <v>1.0469999999999999</v>
      </c>
      <c r="P28" s="56">
        <f t="shared" ref="P28:P39" si="12">IF(answer,P5,AH5)</f>
        <v>1.04</v>
      </c>
      <c r="Q28" s="56">
        <f t="shared" ref="Q28:Q39" si="13">IF(answer,Q5,AI5)</f>
        <v>1.034</v>
      </c>
      <c r="R28">
        <f t="shared" ref="R28:R39" si="14">Max_Gain_required</f>
        <v>1.49292</v>
      </c>
    </row>
    <row r="29" spans="1:29">
      <c r="A29" s="57">
        <v>1.1000000000000001</v>
      </c>
      <c r="B29" s="57"/>
      <c r="C29" s="57"/>
      <c r="D29" s="56">
        <f t="shared" si="0"/>
        <v>1.391</v>
      </c>
      <c r="E29" s="56">
        <f t="shared" si="1"/>
        <v>1.2909999999999999</v>
      </c>
      <c r="F29" s="56">
        <f t="shared" si="2"/>
        <v>1.23</v>
      </c>
      <c r="G29" s="56">
        <f t="shared" si="3"/>
        <v>1.1890000000000001</v>
      </c>
      <c r="H29" s="56">
        <f t="shared" si="4"/>
        <v>1.1599999999999999</v>
      </c>
      <c r="I29" s="56">
        <f t="shared" si="5"/>
        <v>1.139</v>
      </c>
      <c r="J29" s="56">
        <f t="shared" si="6"/>
        <v>1.1100000000000001</v>
      </c>
      <c r="K29" s="56">
        <f t="shared" si="7"/>
        <v>1.0900000000000001</v>
      </c>
      <c r="L29" s="56">
        <f t="shared" si="8"/>
        <v>1.077</v>
      </c>
      <c r="M29" s="56">
        <f t="shared" si="9"/>
        <v>1.0660000000000001</v>
      </c>
      <c r="N29" s="56">
        <f t="shared" si="10"/>
        <v>1.0589999999999999</v>
      </c>
      <c r="O29" s="56">
        <f t="shared" si="11"/>
        <v>1.048</v>
      </c>
      <c r="P29" s="56">
        <f t="shared" si="12"/>
        <v>1.04</v>
      </c>
      <c r="Q29" s="56">
        <f t="shared" si="13"/>
        <v>1.0349999999999999</v>
      </c>
      <c r="R29">
        <f t="shared" si="14"/>
        <v>1.49292</v>
      </c>
    </row>
    <row r="30" spans="1:29">
      <c r="A30" s="56">
        <v>1</v>
      </c>
      <c r="B30" s="56"/>
      <c r="C30" s="56"/>
      <c r="D30" s="56">
        <f t="shared" si="0"/>
        <v>1.4159999999999999</v>
      </c>
      <c r="E30" s="56">
        <f t="shared" si="1"/>
        <v>1.3080000000000001</v>
      </c>
      <c r="F30" s="56">
        <f t="shared" si="2"/>
        <v>1.2410000000000001</v>
      </c>
      <c r="G30" s="56">
        <f t="shared" si="3"/>
        <v>1.198</v>
      </c>
      <c r="H30" s="56">
        <f t="shared" si="4"/>
        <v>1.167</v>
      </c>
      <c r="I30" s="56">
        <f t="shared" si="5"/>
        <v>1.1439999999999999</v>
      </c>
      <c r="J30" s="56">
        <f t="shared" si="6"/>
        <v>1.1180000000000001</v>
      </c>
      <c r="K30" s="56">
        <f t="shared" si="7"/>
        <v>1.093</v>
      </c>
      <c r="L30" s="56">
        <f t="shared" si="8"/>
        <v>1.0780000000000001</v>
      </c>
      <c r="M30" s="56">
        <f t="shared" si="9"/>
        <v>1.0680000000000001</v>
      </c>
      <c r="N30" s="56">
        <f t="shared" si="10"/>
        <v>1.06</v>
      </c>
      <c r="O30" s="56">
        <f t="shared" si="11"/>
        <v>1.048</v>
      </c>
      <c r="P30" s="56">
        <f t="shared" si="12"/>
        <v>1.04</v>
      </c>
      <c r="Q30" s="56">
        <f t="shared" si="13"/>
        <v>1.0349999999999999</v>
      </c>
      <c r="R30">
        <f t="shared" si="14"/>
        <v>1.49292</v>
      </c>
      <c r="T30" s="59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>
      <c r="A31" s="58">
        <v>0.9</v>
      </c>
      <c r="B31" s="58"/>
      <c r="C31" s="58"/>
      <c r="D31" s="56">
        <f t="shared" si="0"/>
        <v>1.45</v>
      </c>
      <c r="E31" s="56">
        <f t="shared" si="1"/>
        <v>1.331</v>
      </c>
      <c r="F31" s="56">
        <f t="shared" si="2"/>
        <v>1.2589999999999999</v>
      </c>
      <c r="G31" s="56">
        <f t="shared" si="3"/>
        <v>1.2110000000000001</v>
      </c>
      <c r="H31" s="56">
        <f t="shared" si="4"/>
        <v>1.177</v>
      </c>
      <c r="I31" s="56">
        <f t="shared" si="5"/>
        <v>1.1519999999999999</v>
      </c>
      <c r="J31" s="56">
        <f t="shared" si="6"/>
        <v>1.1180000000000001</v>
      </c>
      <c r="K31" s="56">
        <f t="shared" si="7"/>
        <v>1.0960000000000001</v>
      </c>
      <c r="L31" s="56">
        <f t="shared" si="8"/>
        <v>1.081</v>
      </c>
      <c r="M31" s="56">
        <f t="shared" si="9"/>
        <v>1.07</v>
      </c>
      <c r="N31" s="56">
        <f t="shared" si="10"/>
        <v>1.0609999999999999</v>
      </c>
      <c r="O31" s="56">
        <f t="shared" si="11"/>
        <v>1.0489999999999999</v>
      </c>
      <c r="P31" s="56">
        <f t="shared" si="12"/>
        <v>1.0409999999999999</v>
      </c>
      <c r="Q31" s="56">
        <f t="shared" si="13"/>
        <v>1.0349999999999999</v>
      </c>
      <c r="R31">
        <f t="shared" si="14"/>
        <v>1.49292</v>
      </c>
      <c r="S31" s="59"/>
    </row>
    <row r="32" spans="1:29">
      <c r="A32" s="56">
        <v>0.8</v>
      </c>
      <c r="B32" s="56"/>
      <c r="C32" s="56"/>
      <c r="D32" s="56">
        <f t="shared" si="0"/>
        <v>1.502</v>
      </c>
      <c r="E32" s="56">
        <f t="shared" si="1"/>
        <v>1.3680000000000001</v>
      </c>
      <c r="F32" s="56">
        <f t="shared" si="2"/>
        <v>1.2849999999999999</v>
      </c>
      <c r="G32" s="56">
        <f t="shared" si="3"/>
        <v>1.23</v>
      </c>
      <c r="H32" s="56">
        <f t="shared" si="4"/>
        <v>1.1919999999999999</v>
      </c>
      <c r="I32" s="56">
        <f t="shared" si="5"/>
        <v>1.163</v>
      </c>
      <c r="J32" s="56">
        <f t="shared" si="6"/>
        <v>1.125</v>
      </c>
      <c r="K32" s="56">
        <f t="shared" si="7"/>
        <v>1.101</v>
      </c>
      <c r="L32" s="56">
        <f t="shared" si="8"/>
        <v>1.085</v>
      </c>
      <c r="M32" s="56">
        <f t="shared" si="9"/>
        <v>1.073</v>
      </c>
      <c r="N32" s="56">
        <f t="shared" si="10"/>
        <v>1.0640000000000001</v>
      </c>
      <c r="O32" s="56">
        <f t="shared" si="11"/>
        <v>1.0509999999999999</v>
      </c>
      <c r="P32" s="56">
        <f t="shared" si="12"/>
        <v>1.042</v>
      </c>
      <c r="Q32" s="56">
        <f t="shared" si="13"/>
        <v>1.036</v>
      </c>
      <c r="R32">
        <f t="shared" si="14"/>
        <v>1.49292</v>
      </c>
    </row>
    <row r="33" spans="1:26">
      <c r="A33" s="58">
        <v>0.7</v>
      </c>
      <c r="B33" s="58"/>
      <c r="C33" s="58"/>
      <c r="D33" s="56">
        <f t="shared" si="0"/>
        <v>1.5820000000000001</v>
      </c>
      <c r="E33" s="56">
        <f t="shared" si="1"/>
        <v>1.4259999999999999</v>
      </c>
      <c r="F33" s="56">
        <f t="shared" si="2"/>
        <v>1.3280000000000001</v>
      </c>
      <c r="G33" s="56">
        <f t="shared" si="3"/>
        <v>1.2629999999999999</v>
      </c>
      <c r="H33" s="56">
        <f t="shared" si="4"/>
        <v>1.2170000000000001</v>
      </c>
      <c r="I33" s="56">
        <f t="shared" si="5"/>
        <v>1.1830000000000001</v>
      </c>
      <c r="J33" s="56">
        <f t="shared" si="6"/>
        <v>1.1379999999999999</v>
      </c>
      <c r="K33" s="56">
        <f t="shared" si="7"/>
        <v>1.1100000000000001</v>
      </c>
      <c r="L33" s="56">
        <f t="shared" si="8"/>
        <v>1.091</v>
      </c>
      <c r="M33" s="56">
        <f t="shared" si="9"/>
        <v>1.077</v>
      </c>
      <c r="N33" s="56">
        <f t="shared" si="10"/>
        <v>1.0669999999999999</v>
      </c>
      <c r="O33" s="56">
        <f t="shared" si="11"/>
        <v>1.0529999999999999</v>
      </c>
      <c r="P33" s="56">
        <f t="shared" si="12"/>
        <v>1.044</v>
      </c>
      <c r="Q33" s="56">
        <f t="shared" si="13"/>
        <v>1.0369999999999999</v>
      </c>
      <c r="R33">
        <f t="shared" si="14"/>
        <v>1.49292</v>
      </c>
    </row>
    <row r="34" spans="1:26">
      <c r="A34" s="56">
        <v>0.6</v>
      </c>
      <c r="B34" s="56"/>
      <c r="C34" s="56"/>
      <c r="D34" s="56">
        <f t="shared" si="0"/>
        <v>1.7070000000000001</v>
      </c>
      <c r="E34" s="56">
        <f t="shared" si="1"/>
        <v>1.5229999999999999</v>
      </c>
      <c r="F34" s="56">
        <f t="shared" si="2"/>
        <v>1.4039999999999999</v>
      </c>
      <c r="G34" s="56">
        <f t="shared" si="3"/>
        <v>1.3220000000000001</v>
      </c>
      <c r="H34" s="56">
        <f t="shared" si="4"/>
        <v>1.2629999999999999</v>
      </c>
      <c r="I34" s="56">
        <f t="shared" si="5"/>
        <v>1.22</v>
      </c>
      <c r="J34" s="56">
        <f t="shared" si="6"/>
        <v>1.1619999999999999</v>
      </c>
      <c r="K34" s="56">
        <f t="shared" si="7"/>
        <v>1.1259999999999999</v>
      </c>
      <c r="L34" s="56">
        <f t="shared" si="8"/>
        <v>1.1020000000000001</v>
      </c>
      <c r="M34" s="56">
        <f t="shared" si="9"/>
        <v>1.0860000000000001</v>
      </c>
      <c r="N34" s="56">
        <f t="shared" si="10"/>
        <v>1.0740000000000001</v>
      </c>
      <c r="O34" s="56">
        <f t="shared" si="11"/>
        <v>1.0569999999999999</v>
      </c>
      <c r="P34" s="56">
        <f t="shared" si="12"/>
        <v>1.0469999999999999</v>
      </c>
      <c r="Q34" s="56">
        <f t="shared" si="13"/>
        <v>1.0389999999999999</v>
      </c>
      <c r="R34">
        <f t="shared" si="14"/>
        <v>1.49292</v>
      </c>
    </row>
    <row r="35" spans="1:26">
      <c r="A35" s="58">
        <v>0.5</v>
      </c>
      <c r="B35" s="58"/>
      <c r="C35" s="58"/>
      <c r="D35" s="56">
        <f t="shared" si="0"/>
        <v>1.9119999999999999</v>
      </c>
      <c r="E35" s="56">
        <f t="shared" si="1"/>
        <v>1.6879999999999999</v>
      </c>
      <c r="F35" s="56">
        <f t="shared" si="2"/>
        <v>1.54</v>
      </c>
      <c r="G35" s="56">
        <f t="shared" si="3"/>
        <v>1.4350000000000001</v>
      </c>
      <c r="H35" s="56">
        <f t="shared" si="4"/>
        <v>1.3580000000000001</v>
      </c>
      <c r="I35" s="56">
        <f t="shared" si="5"/>
        <v>1.298</v>
      </c>
      <c r="J35" s="56">
        <f t="shared" si="6"/>
        <v>1.216</v>
      </c>
      <c r="K35" s="56">
        <f t="shared" si="7"/>
        <v>1.163</v>
      </c>
      <c r="L35" s="56">
        <f t="shared" si="8"/>
        <v>1.1279999999999999</v>
      </c>
      <c r="M35" s="56">
        <f t="shared" si="9"/>
        <v>1.1040000000000001</v>
      </c>
      <c r="N35" s="56">
        <f t="shared" si="10"/>
        <v>1.0880000000000001</v>
      </c>
      <c r="O35" s="56">
        <f t="shared" si="11"/>
        <v>1.0660000000000001</v>
      </c>
      <c r="P35" s="56">
        <f t="shared" si="12"/>
        <v>1.052</v>
      </c>
      <c r="Q35" s="56">
        <f t="shared" si="13"/>
        <v>1.0429999999999999</v>
      </c>
      <c r="R35">
        <f t="shared" si="14"/>
        <v>1.49292</v>
      </c>
    </row>
    <row r="36" spans="1:26">
      <c r="A36" s="56">
        <v>0.4</v>
      </c>
      <c r="B36" s="56"/>
      <c r="C36" s="56"/>
      <c r="D36" s="56">
        <f t="shared" si="0"/>
        <v>2.2559999999999998</v>
      </c>
      <c r="E36" s="56">
        <f t="shared" si="1"/>
        <v>1.976</v>
      </c>
      <c r="F36" s="56">
        <f t="shared" si="2"/>
        <v>1.788</v>
      </c>
      <c r="G36" s="56">
        <f t="shared" si="3"/>
        <v>1.6519999999999999</v>
      </c>
      <c r="H36" s="56">
        <f t="shared" si="4"/>
        <v>1.548</v>
      </c>
      <c r="I36" s="56">
        <f t="shared" si="5"/>
        <v>1.4670000000000001</v>
      </c>
      <c r="J36" s="56">
        <f t="shared" si="6"/>
        <v>1.3480000000000001</v>
      </c>
      <c r="K36" s="56">
        <f t="shared" si="7"/>
        <v>1.2649999999999999</v>
      </c>
      <c r="L36" s="56">
        <f t="shared" si="8"/>
        <v>1.206</v>
      </c>
      <c r="M36" s="56">
        <f t="shared" si="9"/>
        <v>1.163</v>
      </c>
      <c r="N36" s="56">
        <f t="shared" si="10"/>
        <v>1.131</v>
      </c>
      <c r="O36" s="56">
        <f t="shared" si="11"/>
        <v>1.091</v>
      </c>
      <c r="P36" s="56">
        <f t="shared" si="12"/>
        <v>1.0680000000000001</v>
      </c>
      <c r="Q36" s="56">
        <f t="shared" si="13"/>
        <v>1.054</v>
      </c>
      <c r="R36">
        <f t="shared" si="14"/>
        <v>1.49292</v>
      </c>
    </row>
    <row r="37" spans="1:26">
      <c r="A37" s="58">
        <v>0.3</v>
      </c>
      <c r="B37" s="58"/>
      <c r="C37" s="58"/>
      <c r="D37" s="56">
        <f t="shared" si="0"/>
        <v>2.8759999999999999</v>
      </c>
      <c r="E37" s="56">
        <f t="shared" si="1"/>
        <v>2.5070000000000001</v>
      </c>
      <c r="F37" s="56">
        <f t="shared" si="2"/>
        <v>2.2559999999999998</v>
      </c>
      <c r="G37" s="56">
        <f t="shared" si="3"/>
        <v>2.0710000000000002</v>
      </c>
      <c r="H37" s="56">
        <f t="shared" si="4"/>
        <v>1.93</v>
      </c>
      <c r="I37" s="56">
        <f t="shared" si="5"/>
        <v>1.8160000000000001</v>
      </c>
      <c r="J37" s="56">
        <f t="shared" si="6"/>
        <v>1.6459999999999999</v>
      </c>
      <c r="K37" s="56">
        <f t="shared" si="7"/>
        <v>1.5229999999999999</v>
      </c>
      <c r="L37" s="56">
        <f t="shared" si="8"/>
        <v>1.43</v>
      </c>
      <c r="M37" s="56">
        <f t="shared" si="9"/>
        <v>1.357</v>
      </c>
      <c r="N37" s="56">
        <f t="shared" si="10"/>
        <v>1.2989999999999999</v>
      </c>
      <c r="O37" s="56">
        <f t="shared" si="11"/>
        <v>1.212</v>
      </c>
      <c r="P37" s="56">
        <f t="shared" si="12"/>
        <v>1.1519999999999999</v>
      </c>
      <c r="Q37" s="56">
        <f t="shared" si="13"/>
        <v>1.1100000000000001</v>
      </c>
      <c r="R37">
        <f t="shared" si="14"/>
        <v>1.49292</v>
      </c>
    </row>
    <row r="38" spans="1:26">
      <c r="A38" s="56">
        <v>0.2</v>
      </c>
      <c r="B38" s="56"/>
      <c r="C38" s="56"/>
      <c r="D38" s="56">
        <f t="shared" si="0"/>
        <v>4.1829999999999998</v>
      </c>
      <c r="E38" s="56">
        <f t="shared" si="1"/>
        <v>3.629</v>
      </c>
      <c r="F38" s="56">
        <f t="shared" si="2"/>
        <v>3.2549999999999999</v>
      </c>
      <c r="G38" s="56">
        <f t="shared" si="3"/>
        <v>2.9769999999999999</v>
      </c>
      <c r="H38" s="56">
        <f t="shared" si="4"/>
        <v>2.766</v>
      </c>
      <c r="I38" s="56">
        <f t="shared" si="5"/>
        <v>2.5939999999999999</v>
      </c>
      <c r="J38" s="56">
        <f t="shared" si="6"/>
        <v>2.3319999999999999</v>
      </c>
      <c r="K38" s="56">
        <f t="shared" si="7"/>
        <v>2.14</v>
      </c>
      <c r="L38" s="56">
        <f t="shared" si="8"/>
        <v>1.9930000000000001</v>
      </c>
      <c r="M38" s="56">
        <f t="shared" si="9"/>
        <v>1.8740000000000001</v>
      </c>
      <c r="N38" s="56">
        <f t="shared" si="10"/>
        <v>1.7769999999999999</v>
      </c>
      <c r="O38" s="56">
        <f t="shared" si="11"/>
        <v>1.6259999999999999</v>
      </c>
      <c r="P38" s="56">
        <f t="shared" si="12"/>
        <v>1.5129999999999999</v>
      </c>
      <c r="Q38" s="56">
        <f t="shared" si="13"/>
        <v>1.4259999999999999</v>
      </c>
      <c r="R38">
        <f t="shared" si="14"/>
        <v>1.49292</v>
      </c>
    </row>
    <row r="39" spans="1:26">
      <c r="A39" s="58">
        <v>0.1</v>
      </c>
      <c r="D39" s="56">
        <f t="shared" si="0"/>
        <v>8.2149999999999999</v>
      </c>
      <c r="E39" s="56">
        <f t="shared" si="1"/>
        <v>7.0659999999999998</v>
      </c>
      <c r="F39" s="56">
        <f t="shared" si="2"/>
        <v>6.3579999999999997</v>
      </c>
      <c r="G39" s="56">
        <f t="shared" si="3"/>
        <v>5.806</v>
      </c>
      <c r="H39" s="56">
        <f t="shared" si="4"/>
        <v>5.3890000000000002</v>
      </c>
      <c r="I39" s="56">
        <f t="shared" si="5"/>
        <v>5.0449999999999999</v>
      </c>
      <c r="J39" s="56">
        <f t="shared" si="6"/>
        <v>4.508</v>
      </c>
      <c r="K39" s="56">
        <f t="shared" si="7"/>
        <v>4.1289999999999996</v>
      </c>
      <c r="L39" s="56">
        <f t="shared" si="8"/>
        <v>3.8279999999999998</v>
      </c>
      <c r="M39" s="56">
        <f t="shared" si="9"/>
        <v>3.5830000000000002</v>
      </c>
      <c r="N39" s="56">
        <f t="shared" si="10"/>
        <v>3.3839999999999999</v>
      </c>
      <c r="O39" s="56">
        <f t="shared" si="11"/>
        <v>3.069</v>
      </c>
      <c r="P39" s="56">
        <f t="shared" si="12"/>
        <v>2.8279999999999998</v>
      </c>
      <c r="Q39" s="56">
        <f t="shared" si="13"/>
        <v>2.5110000000000001</v>
      </c>
      <c r="R39">
        <f t="shared" si="14"/>
        <v>1.49292</v>
      </c>
    </row>
    <row r="45" spans="1:26">
      <c r="V45" s="59"/>
      <c r="W45" s="59"/>
      <c r="X45" s="59"/>
      <c r="Y45" s="59"/>
      <c r="Z45" s="59"/>
    </row>
    <row r="95" spans="1:11">
      <c r="B95" s="59"/>
      <c r="C95" s="59"/>
      <c r="D95" s="59"/>
      <c r="E95" s="59"/>
      <c r="F95" s="59"/>
      <c r="G95" s="59"/>
      <c r="H95" s="59"/>
      <c r="I95" s="59"/>
      <c r="J95" s="59"/>
      <c r="K95" s="59"/>
    </row>
    <row r="96" spans="1:11">
      <c r="A96" s="59"/>
    </row>
    <row r="99" spans="5:5">
      <c r="E99">
        <v>1.43</v>
      </c>
    </row>
    <row r="100" spans="5:5">
      <c r="E100" s="56">
        <v>1.45</v>
      </c>
    </row>
    <row r="101" spans="5:5">
      <c r="E101" s="57">
        <v>1.47</v>
      </c>
    </row>
    <row r="102" spans="5:5">
      <c r="E102" s="56">
        <v>1.5</v>
      </c>
    </row>
    <row r="103" spans="5:5">
      <c r="E103" s="58">
        <v>1.54</v>
      </c>
    </row>
    <row r="104" spans="5:5">
      <c r="E104" s="56">
        <v>1.6</v>
      </c>
    </row>
    <row r="105" spans="5:5">
      <c r="E105" s="58">
        <v>1.7</v>
      </c>
    </row>
    <row r="106" spans="5:5">
      <c r="E106" s="56">
        <v>1.83</v>
      </c>
    </row>
    <row r="107" spans="5:5">
      <c r="E107" s="58">
        <v>2.0699999999999998</v>
      </c>
    </row>
    <row r="108" spans="5:5">
      <c r="E108" s="56">
        <v>2.4500000000000002</v>
      </c>
    </row>
    <row r="109" spans="5:5">
      <c r="E109" s="58">
        <v>5</v>
      </c>
    </row>
    <row r="110" spans="5:5">
      <c r="E110" s="56">
        <v>10</v>
      </c>
    </row>
  </sheetData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opLeftCell="A7" workbookViewId="0">
      <selection activeCell="L9" sqref="L9"/>
    </sheetView>
  </sheetViews>
  <sheetFormatPr defaultRowHeight="15"/>
  <cols>
    <col min="1" max="1" width="13.28515625" customWidth="1"/>
    <col min="2" max="2" width="17.7109375" customWidth="1"/>
    <col min="8" max="8" width="9.140625" customWidth="1"/>
    <col min="16" max="16" width="12.7109375" customWidth="1"/>
  </cols>
  <sheetData>
    <row r="1" spans="1:16">
      <c r="A1" s="77" t="s">
        <v>146</v>
      </c>
      <c r="B1" s="78">
        <f>1/SQRT(Lr*10^-6*Cr*10^-9)</f>
        <v>599329.12685673009</v>
      </c>
      <c r="C1" t="s">
        <v>158</v>
      </c>
      <c r="D1">
        <f>Lp</f>
        <v>330</v>
      </c>
      <c r="H1" s="75" t="s">
        <v>186</v>
      </c>
      <c r="I1" s="63">
        <f>MAX(C8:C110)</f>
        <v>1.9958079687500141</v>
      </c>
    </row>
    <row r="2" spans="1:16">
      <c r="A2" s="77" t="s">
        <v>147</v>
      </c>
      <c r="B2" s="78">
        <f>1/SQRT(Lp*10^-6*Cr*10^-9)</f>
        <v>251259.45381480304</v>
      </c>
      <c r="C2" t="s">
        <v>158</v>
      </c>
      <c r="H2" s="75" t="s">
        <v>188</v>
      </c>
      <c r="I2">
        <f>MATCH(MAX(C8:C110),C8:C110,0)</f>
        <v>16</v>
      </c>
    </row>
    <row r="3" spans="1:16">
      <c r="A3" s="77" t="s">
        <v>175</v>
      </c>
      <c r="B3" s="78">
        <f>8*nn^2*Vo^2/(PI())^2/Po/MC^2</f>
        <v>116.33444127439091</v>
      </c>
      <c r="H3" s="75" t="s">
        <v>187</v>
      </c>
      <c r="I3" s="76">
        <f>INDEX(A8:A110,MATCH(MAX(C8:C110),C8:C110,0),1)</f>
        <v>44.010222126702025</v>
      </c>
    </row>
    <row r="4" spans="1:16">
      <c r="A4" s="77" t="s">
        <v>174</v>
      </c>
      <c r="B4" s="79">
        <f>SQRT(Lr*10^-6*10^9/Cr)/Rac.e</f>
        <v>0.29880307995550093</v>
      </c>
    </row>
    <row r="5" spans="1:16">
      <c r="A5" s="77" t="s">
        <v>200</v>
      </c>
      <c r="B5" s="79">
        <f>IF(answer,SQRT(Ma/(Ma-1)),1)</f>
        <v>1.101469606533765</v>
      </c>
    </row>
    <row r="7" spans="1:16">
      <c r="A7" t="s">
        <v>144</v>
      </c>
      <c r="B7" t="s">
        <v>145</v>
      </c>
      <c r="C7" s="60" t="s">
        <v>159</v>
      </c>
      <c r="D7" s="60" t="s">
        <v>160</v>
      </c>
      <c r="E7" s="60" t="s">
        <v>161</v>
      </c>
      <c r="F7" s="60" t="s">
        <v>162</v>
      </c>
      <c r="G7" s="60" t="s">
        <v>163</v>
      </c>
      <c r="H7" s="60" t="s">
        <v>183</v>
      </c>
      <c r="I7" s="60" t="s">
        <v>184</v>
      </c>
      <c r="L7" s="60" t="s">
        <v>191</v>
      </c>
      <c r="M7" s="60" t="s">
        <v>192</v>
      </c>
    </row>
    <row r="8" spans="1:16">
      <c r="A8" s="61">
        <f>fo*0.35</f>
        <v>33.385167577369373</v>
      </c>
      <c r="B8" s="62">
        <f>2000*3.14*A8</f>
        <v>209658.85238587967</v>
      </c>
      <c r="C8" s="63">
        <f t="shared" ref="C8:C39" si="0">(B8/wo)^2*(Ma-1)*IF(answer,MC,1)/SQRT((1-B8^2/wp^2)^2+(B8/wo)^2*(1-B8^2/wo^2)^2*((Ma-1)*Q.e)^2)</f>
        <v>1.2003568191826128</v>
      </c>
      <c r="D8" s="63">
        <f t="shared" ref="D8:D39" si="1">(B8/wo)^2*(Ma-1)*IF(answer,MC,1)/SQRT((1-B8^2/wp^2)^2+(B8/wo)^2*(1-B8^2/wo^2)^2*((Ma-1)*Q.e*0.8)^2)</f>
        <v>1.3771334571820821</v>
      </c>
      <c r="E8" s="63">
        <f t="shared" ref="E8:E39" si="2">(B8/wo)^2*(Ma-1)*IF(answer,MC,1)/SQRT((1-B8^2/wp^2)^2+(B8/wo)^2*(1-B8^2/wo^2)^2*((Ma-1)*Q.e*0.6)^2)</f>
        <v>1.5859064626871553</v>
      </c>
      <c r="F8" s="63">
        <f t="shared" ref="F8:F39" si="3">(B8/wo)^2*(Ma-1)*IF(answer,MC,1)/SQRT((1-B8^2/wp^2)^2+(B8/wo)^2*(1-B8^2/wo^2)^2*((Ma-1)*Q.e*0.4)^2)</f>
        <v>1.8108238918363144</v>
      </c>
      <c r="G8" s="63">
        <f t="shared" ref="G8:G39" si="4">(B8/wo)^2*(Ma-1)*IF(answer,MC,1)/SQRT((1-B8^2/wp^2)^2+(B8/wo)^2*(1-B8^2/wo^2)^2*((Ma-1)*Q.e*0.2)^2)</f>
        <v>2.0024761917072862</v>
      </c>
      <c r="H8">
        <f t="shared" ref="H8:H39" si="5">M_min</f>
        <v>1.131</v>
      </c>
      <c r="I8">
        <f t="shared" ref="I8:I39" si="6">Max_Gain_required</f>
        <v>1.49292</v>
      </c>
      <c r="L8">
        <f>f_min.curve</f>
        <v>44.010222126702025</v>
      </c>
      <c r="M8">
        <v>0</v>
      </c>
    </row>
    <row r="9" spans="1:16">
      <c r="A9" s="61">
        <f>A8*10^0.008</f>
        <v>34.00584418305197</v>
      </c>
      <c r="B9" s="62">
        <f t="shared" ref="B9:B72" si="7">2000*3.14*A9</f>
        <v>213556.70146956638</v>
      </c>
      <c r="C9" s="63">
        <f t="shared" si="0"/>
        <v>1.2690739227165109</v>
      </c>
      <c r="D9" s="63">
        <f t="shared" si="1"/>
        <v>1.4714289893135293</v>
      </c>
      <c r="E9" s="63">
        <f t="shared" si="2"/>
        <v>1.7195993589640153</v>
      </c>
      <c r="F9" s="63">
        <f t="shared" si="3"/>
        <v>2.0006985003880757</v>
      </c>
      <c r="G9" s="63">
        <f t="shared" si="4"/>
        <v>2.254094486671486</v>
      </c>
      <c r="H9">
        <f t="shared" si="5"/>
        <v>1.131</v>
      </c>
      <c r="I9">
        <f t="shared" si="6"/>
        <v>1.49292</v>
      </c>
      <c r="L9">
        <f>f_min.curve</f>
        <v>44.010222126702025</v>
      </c>
      <c r="M9">
        <f>Max_Gain_required</f>
        <v>1.49292</v>
      </c>
    </row>
    <row r="10" spans="1:16">
      <c r="A10" s="61">
        <f t="shared" ref="A10:A73" si="8">A9*10^0.008</f>
        <v>34.638060028366922</v>
      </c>
      <c r="B10" s="62">
        <f t="shared" si="7"/>
        <v>217527.01697814427</v>
      </c>
      <c r="C10" s="63">
        <f t="shared" si="0"/>
        <v>1.3403230359792806</v>
      </c>
      <c r="D10" s="63">
        <f t="shared" si="1"/>
        <v>1.5712807705229528</v>
      </c>
      <c r="E10" s="63">
        <f t="shared" si="2"/>
        <v>1.8662656101060411</v>
      </c>
      <c r="F10" s="63">
        <f t="shared" si="3"/>
        <v>2.2201216983404186</v>
      </c>
      <c r="G10" s="63">
        <f t="shared" si="4"/>
        <v>2.5620358414605304</v>
      </c>
      <c r="H10">
        <f t="shared" si="5"/>
        <v>1.131</v>
      </c>
      <c r="I10">
        <f t="shared" si="6"/>
        <v>1.49292</v>
      </c>
    </row>
    <row r="11" spans="1:16">
      <c r="A11" s="61">
        <f t="shared" si="8"/>
        <v>35.282029643796086</v>
      </c>
      <c r="B11" s="62">
        <f t="shared" si="7"/>
        <v>221571.14616303943</v>
      </c>
      <c r="C11" s="63">
        <f t="shared" si="0"/>
        <v>1.4135100997140584</v>
      </c>
      <c r="D11" s="63">
        <f t="shared" si="1"/>
        <v>1.6759390509511811</v>
      </c>
      <c r="E11" s="63">
        <f t="shared" si="2"/>
        <v>2.0258455555707373</v>
      </c>
      <c r="F11" s="63">
        <f t="shared" si="3"/>
        <v>2.4738499396988392</v>
      </c>
      <c r="G11" s="63">
        <f t="shared" si="4"/>
        <v>2.9457195074090476</v>
      </c>
      <c r="H11">
        <f t="shared" si="5"/>
        <v>1.131</v>
      </c>
      <c r="I11">
        <f t="shared" si="6"/>
        <v>1.49292</v>
      </c>
    </row>
    <row r="12" spans="1:16">
      <c r="A12" s="61">
        <f t="shared" si="8"/>
        <v>35.937971548240753</v>
      </c>
      <c r="B12" s="62">
        <f t="shared" si="7"/>
        <v>225690.46132295195</v>
      </c>
      <c r="C12" s="63">
        <f t="shared" si="0"/>
        <v>1.4878166737874339</v>
      </c>
      <c r="D12" s="63">
        <f t="shared" si="1"/>
        <v>1.7841273061486944</v>
      </c>
      <c r="E12" s="63">
        <f t="shared" si="2"/>
        <v>2.1971929341163796</v>
      </c>
      <c r="F12" s="63">
        <f t="shared" si="3"/>
        <v>2.7660831829244312</v>
      </c>
      <c r="G12" s="63">
        <f t="shared" si="4"/>
        <v>3.4333423790739723</v>
      </c>
      <c r="H12">
        <f t="shared" si="5"/>
        <v>1.131</v>
      </c>
      <c r="I12">
        <f t="shared" si="6"/>
        <v>1.49292</v>
      </c>
    </row>
    <row r="13" spans="1:16">
      <c r="A13" s="61">
        <f t="shared" si="8"/>
        <v>36.60610832317191</v>
      </c>
      <c r="B13" s="62">
        <f t="shared" si="7"/>
        <v>229886.36026951959</v>
      </c>
      <c r="C13" s="63">
        <f t="shared" si="0"/>
        <v>1.5621802759544199</v>
      </c>
      <c r="D13" s="63">
        <f t="shared" si="1"/>
        <v>1.8939213511026924</v>
      </c>
      <c r="E13" s="63">
        <f t="shared" si="2"/>
        <v>2.3774692680653478</v>
      </c>
      <c r="F13" s="63">
        <f t="shared" si="3"/>
        <v>3.0986124282219718</v>
      </c>
      <c r="G13" s="63">
        <f t="shared" si="4"/>
        <v>4.0658458483842166</v>
      </c>
      <c r="H13">
        <f t="shared" si="5"/>
        <v>1.131</v>
      </c>
      <c r="I13">
        <f t="shared" si="6"/>
        <v>1.49292</v>
      </c>
    </row>
    <row r="14" spans="1:16">
      <c r="A14" s="61">
        <f t="shared" si="8"/>
        <v>37.286666688159038</v>
      </c>
      <c r="B14" s="62">
        <f t="shared" si="7"/>
        <v>234160.26680163876</v>
      </c>
      <c r="C14" s="63">
        <f t="shared" si="0"/>
        <v>1.6352948267952665</v>
      </c>
      <c r="D14" s="63">
        <f t="shared" si="1"/>
        <v>2.002670765247843</v>
      </c>
      <c r="E14" s="63">
        <f t="shared" si="2"/>
        <v>2.5614632772238197</v>
      </c>
      <c r="F14" s="63">
        <f t="shared" si="3"/>
        <v>3.4671887063993312</v>
      </c>
      <c r="G14" s="63">
        <f t="shared" si="4"/>
        <v>4.9000864069235686</v>
      </c>
      <c r="H14">
        <f t="shared" si="5"/>
        <v>1.131</v>
      </c>
      <c r="I14">
        <f t="shared" si="6"/>
        <v>1.49292</v>
      </c>
    </row>
    <row r="15" spans="1:16">
      <c r="A15" s="61">
        <f t="shared" si="8"/>
        <v>37.979877577803116</v>
      </c>
      <c r="B15" s="62">
        <f t="shared" si="7"/>
        <v>238513.63118860355</v>
      </c>
      <c r="C15" s="63">
        <f t="shared" si="0"/>
        <v>1.7056410348817592</v>
      </c>
      <c r="D15" s="63">
        <f t="shared" si="1"/>
        <v>2.1070143996940578</v>
      </c>
      <c r="E15" s="63">
        <f t="shared" si="2"/>
        <v>2.7410680431959591</v>
      </c>
      <c r="F15" s="63">
        <f t="shared" si="3"/>
        <v>3.8555988865045316</v>
      </c>
      <c r="G15" s="63">
        <f t="shared" si="4"/>
        <v>6.0004098085103772</v>
      </c>
      <c r="H15">
        <f t="shared" si="5"/>
        <v>1.131</v>
      </c>
      <c r="I15">
        <f t="shared" si="6"/>
        <v>1.49292</v>
      </c>
      <c r="O15" s="110" t="s">
        <v>150</v>
      </c>
      <c r="P15" s="111"/>
    </row>
    <row r="16" spans="1:16">
      <c r="A16" s="61">
        <f t="shared" si="8"/>
        <v>38.685976220099903</v>
      </c>
      <c r="B16" s="62">
        <f t="shared" si="7"/>
        <v>242947.93066222739</v>
      </c>
      <c r="C16" s="63">
        <f t="shared" si="0"/>
        <v>1.7715545192370181</v>
      </c>
      <c r="D16" s="63">
        <f t="shared" si="1"/>
        <v>2.2030465494370404</v>
      </c>
      <c r="E16" s="63">
        <f t="shared" si="2"/>
        <v>2.9053507938402223</v>
      </c>
      <c r="F16" s="63">
        <f t="shared" si="3"/>
        <v>4.2289051599807754</v>
      </c>
      <c r="G16" s="63">
        <f t="shared" si="4"/>
        <v>7.3748723706765711</v>
      </c>
      <c r="H16">
        <f t="shared" si="5"/>
        <v>1.131</v>
      </c>
      <c r="I16">
        <f t="shared" si="6"/>
        <v>1.49292</v>
      </c>
      <c r="O16" s="80" t="s">
        <v>151</v>
      </c>
      <c r="P16" s="81">
        <f>SQRT(Lp^2-Lr*Lp)</f>
        <v>299.59973297718409</v>
      </c>
    </row>
    <row r="17" spans="1:16">
      <c r="A17" s="61">
        <f t="shared" si="8"/>
        <v>39.405202216260115</v>
      </c>
      <c r="B17" s="62">
        <f t="shared" si="7"/>
        <v>247464.66991811353</v>
      </c>
      <c r="C17" s="63">
        <f t="shared" si="0"/>
        <v>1.8313335603942431</v>
      </c>
      <c r="D17" s="63">
        <f t="shared" si="1"/>
        <v>2.2866690181498996</v>
      </c>
      <c r="E17" s="63">
        <f t="shared" si="2"/>
        <v>3.0417333991407864</v>
      </c>
      <c r="F17" s="63">
        <f t="shared" si="3"/>
        <v>4.5323321240629655</v>
      </c>
      <c r="G17" s="63">
        <f t="shared" si="4"/>
        <v>8.7573784198607054</v>
      </c>
      <c r="H17">
        <f t="shared" si="5"/>
        <v>1.131</v>
      </c>
      <c r="I17">
        <f t="shared" si="6"/>
        <v>1.49292</v>
      </c>
      <c r="O17" s="80" t="s">
        <v>152</v>
      </c>
      <c r="P17" s="81">
        <f>Lp-SQRT(Lp^2-Lr*Lp)</f>
        <v>30.40026702281591</v>
      </c>
    </row>
    <row r="18" spans="1:16">
      <c r="A18" s="61">
        <f t="shared" si="8"/>
        <v>40.137799622013553</v>
      </c>
      <c r="B18" s="62">
        <f t="shared" si="7"/>
        <v>252065.3816262451</v>
      </c>
      <c r="C18" s="63">
        <f t="shared" si="0"/>
        <v>1.8833786989574379</v>
      </c>
      <c r="D18" s="63">
        <f t="shared" si="1"/>
        <v>2.3541072383035222</v>
      </c>
      <c r="E18" s="63">
        <f t="shared" si="2"/>
        <v>3.1384751828941169</v>
      </c>
      <c r="F18" s="63">
        <f t="shared" si="3"/>
        <v>4.7062802225569245</v>
      </c>
      <c r="G18" s="63">
        <f t="shared" si="4"/>
        <v>9.3971339544552759</v>
      </c>
      <c r="H18">
        <f t="shared" si="5"/>
        <v>1.131</v>
      </c>
      <c r="I18">
        <f t="shared" si="6"/>
        <v>1.49292</v>
      </c>
      <c r="O18" s="80" t="s">
        <v>153</v>
      </c>
      <c r="P18" s="82">
        <f>Np/Ns</f>
        <v>9.3307500000000001</v>
      </c>
    </row>
    <row r="19" spans="1:16">
      <c r="A19" s="61">
        <f t="shared" si="8"/>
        <v>40.884017030424793</v>
      </c>
      <c r="B19" s="62">
        <f t="shared" si="7"/>
        <v>256751.62695106771</v>
      </c>
      <c r="C19" s="63">
        <f t="shared" si="0"/>
        <v>1.9263451872044854</v>
      </c>
      <c r="D19" s="63">
        <f t="shared" si="1"/>
        <v>2.4024882456699181</v>
      </c>
      <c r="E19" s="63">
        <f t="shared" si="2"/>
        <v>3.1878041083177995</v>
      </c>
      <c r="F19" s="63">
        <f t="shared" si="3"/>
        <v>4.7170376598000638</v>
      </c>
      <c r="G19" s="63">
        <f t="shared" si="4"/>
        <v>8.8162262732818419</v>
      </c>
      <c r="H19">
        <f t="shared" si="5"/>
        <v>1.131</v>
      </c>
      <c r="I19">
        <f t="shared" si="6"/>
        <v>1.49292</v>
      </c>
      <c r="O19" s="80" t="s">
        <v>154</v>
      </c>
      <c r="P19" s="82" t="e">
        <f>Ro*n^2*8/3.14^2</f>
        <v>#NAME?</v>
      </c>
    </row>
    <row r="20" spans="1:16">
      <c r="A20" s="61">
        <f t="shared" si="8"/>
        <v>41.644107656248543</v>
      </c>
      <c r="B20" s="62">
        <f t="shared" si="7"/>
        <v>261524.99608124085</v>
      </c>
      <c r="C20" s="63">
        <f t="shared" si="0"/>
        <v>1.9592808250170719</v>
      </c>
      <c r="D20" s="63">
        <f t="shared" si="1"/>
        <v>2.4303165456446578</v>
      </c>
      <c r="E20" s="63">
        <f t="shared" si="2"/>
        <v>3.1882203999517635</v>
      </c>
      <c r="F20" s="63">
        <f t="shared" si="3"/>
        <v>4.5778856500657952</v>
      </c>
      <c r="G20" s="63">
        <f t="shared" si="4"/>
        <v>7.5986558716462804</v>
      </c>
      <c r="H20">
        <f t="shared" si="5"/>
        <v>1.131</v>
      </c>
      <c r="I20">
        <f t="shared" si="6"/>
        <v>1.49292</v>
      </c>
      <c r="O20" s="83"/>
      <c r="P20" s="84"/>
    </row>
    <row r="21" spans="1:16">
      <c r="A21" s="61">
        <f t="shared" si="8"/>
        <v>42.418329421853279</v>
      </c>
      <c r="B21" s="62">
        <f t="shared" si="7"/>
        <v>266387.10876923858</v>
      </c>
      <c r="C21" s="63">
        <f t="shared" si="0"/>
        <v>1.9817205992583022</v>
      </c>
      <c r="D21" s="63">
        <f t="shared" si="1"/>
        <v>2.4376907399203662</v>
      </c>
      <c r="E21" s="63">
        <f t="shared" si="2"/>
        <v>3.1446630178468205</v>
      </c>
      <c r="F21" s="63">
        <f t="shared" si="3"/>
        <v>4.3375234468598718</v>
      </c>
      <c r="G21" s="63">
        <f t="shared" si="4"/>
        <v>6.405980078442381</v>
      </c>
      <c r="H21">
        <f t="shared" si="5"/>
        <v>1.131</v>
      </c>
      <c r="I21">
        <f t="shared" si="6"/>
        <v>1.49292</v>
      </c>
      <c r="O21" s="80" t="s">
        <v>146</v>
      </c>
      <c r="P21" s="85">
        <f>1/SQRT(Lr*Cr)</f>
        <v>1.8952451089472584E-2</v>
      </c>
    </row>
    <row r="22" spans="1:16">
      <c r="A22" s="61">
        <f t="shared" si="8"/>
        <v>43.206945044742319</v>
      </c>
      <c r="B22" s="62">
        <f t="shared" si="7"/>
        <v>271339.61488098174</v>
      </c>
      <c r="C22" s="63">
        <f t="shared" si="0"/>
        <v>1.9937179387985382</v>
      </c>
      <c r="D22" s="63">
        <f t="shared" si="1"/>
        <v>2.4261927078396734</v>
      </c>
      <c r="E22" s="63">
        <f t="shared" si="2"/>
        <v>3.0665306923397453</v>
      </c>
      <c r="F22" s="63">
        <f t="shared" si="3"/>
        <v>4.0503446255819009</v>
      </c>
      <c r="G22" s="63">
        <f t="shared" si="4"/>
        <v>5.4453901091888151</v>
      </c>
      <c r="H22">
        <f t="shared" si="5"/>
        <v>1.131</v>
      </c>
      <c r="I22">
        <f t="shared" si="6"/>
        <v>1.49292</v>
      </c>
      <c r="O22" s="80" t="s">
        <v>147</v>
      </c>
      <c r="P22" s="85">
        <f>1/SQRT(Lp*Cr)</f>
        <v>7.945521577046602E-3</v>
      </c>
    </row>
    <row r="23" spans="1:16">
      <c r="A23" s="61">
        <f t="shared" si="8"/>
        <v>44.010222126702025</v>
      </c>
      <c r="B23" s="62">
        <f t="shared" si="7"/>
        <v>276384.19495568873</v>
      </c>
      <c r="C23" s="63">
        <f t="shared" si="0"/>
        <v>1.9958079687500141</v>
      </c>
      <c r="D23" s="63">
        <f t="shared" si="1"/>
        <v>2.3985057787328188</v>
      </c>
      <c r="E23" s="63">
        <f t="shared" si="2"/>
        <v>2.9648080576627027</v>
      </c>
      <c r="F23" s="63">
        <f t="shared" si="3"/>
        <v>3.7565751615321981</v>
      </c>
      <c r="G23" s="63">
        <f t="shared" si="4"/>
        <v>4.7077137885180722</v>
      </c>
      <c r="H23">
        <f t="shared" si="5"/>
        <v>1.131</v>
      </c>
      <c r="I23">
        <f t="shared" si="6"/>
        <v>1.49292</v>
      </c>
      <c r="O23" s="80" t="s">
        <v>148</v>
      </c>
      <c r="P23" s="85">
        <f>wo/2/3.14</f>
        <v>95434.574340243635</v>
      </c>
    </row>
    <row r="24" spans="1:16">
      <c r="A24" s="61">
        <f t="shared" si="8"/>
        <v>44.828433244607425</v>
      </c>
      <c r="B24" s="62">
        <f t="shared" si="7"/>
        <v>281522.5607761346</v>
      </c>
      <c r="C24" s="63">
        <f t="shared" si="0"/>
        <v>1.9889148490996644</v>
      </c>
      <c r="D24" s="63">
        <f t="shared" si="1"/>
        <v>2.3579053426253891</v>
      </c>
      <c r="E24" s="63">
        <f t="shared" si="2"/>
        <v>2.8496794735933708</v>
      </c>
      <c r="F24" s="63">
        <f t="shared" si="3"/>
        <v>3.4788922097773121</v>
      </c>
      <c r="G24" s="63">
        <f t="shared" si="4"/>
        <v>4.1409907903161054</v>
      </c>
      <c r="H24">
        <f t="shared" si="5"/>
        <v>1.131</v>
      </c>
      <c r="I24">
        <f t="shared" si="6"/>
        <v>1.49292</v>
      </c>
      <c r="O24" s="80" t="s">
        <v>149</v>
      </c>
      <c r="P24" s="85">
        <f>wm/2/3.14</f>
        <v>0.26686927562916896</v>
      </c>
    </row>
    <row r="25" spans="1:16">
      <c r="A25" s="61">
        <f t="shared" si="8"/>
        <v>45.661856042915993</v>
      </c>
      <c r="B25" s="62">
        <f t="shared" si="7"/>
        <v>286756.45594951243</v>
      </c>
      <c r="C25" s="63">
        <f t="shared" si="0"/>
        <v>1.9742266787382037</v>
      </c>
      <c r="D25" s="63">
        <f t="shared" si="1"/>
        <v>2.307774166814212</v>
      </c>
      <c r="E25" s="63">
        <f t="shared" si="2"/>
        <v>2.7292573227616836</v>
      </c>
      <c r="F25" s="63">
        <f t="shared" si="3"/>
        <v>3.2270884907203237</v>
      </c>
      <c r="G25" s="63">
        <f t="shared" si="4"/>
        <v>3.6989255946775561</v>
      </c>
      <c r="H25">
        <f t="shared" si="5"/>
        <v>1.131</v>
      </c>
      <c r="I25">
        <f t="shared" si="6"/>
        <v>1.49292</v>
      </c>
      <c r="O25" s="83"/>
      <c r="P25" s="84"/>
    </row>
    <row r="26" spans="1:16">
      <c r="A26" s="61">
        <f t="shared" si="8"/>
        <v>46.510773327881068</v>
      </c>
      <c r="B26" s="62">
        <f t="shared" si="7"/>
        <v>292087.65649909311</v>
      </c>
      <c r="C26" s="63">
        <f t="shared" si="0"/>
        <v>1.9530642064807919</v>
      </c>
      <c r="D26" s="63">
        <f t="shared" si="1"/>
        <v>2.251241557756559</v>
      </c>
      <c r="E26" s="63">
        <f t="shared" si="2"/>
        <v>2.609300912516753</v>
      </c>
      <c r="F26" s="63">
        <f t="shared" si="3"/>
        <v>3.0035309678059132</v>
      </c>
      <c r="G26" s="63">
        <f t="shared" si="4"/>
        <v>3.3476048052962599</v>
      </c>
      <c r="H26">
        <f t="shared" si="5"/>
        <v>1.131</v>
      </c>
      <c r="I26">
        <f t="shared" si="6"/>
        <v>1.49292</v>
      </c>
      <c r="O26" s="80" t="s">
        <v>155</v>
      </c>
      <c r="P26" s="86">
        <f>SQRT(Lr/Cr)/Rac</f>
        <v>9.4488609417800792E-3</v>
      </c>
    </row>
    <row r="27" spans="1:16">
      <c r="A27" s="61">
        <f t="shared" si="8"/>
        <v>47.375473163516773</v>
      </c>
      <c r="B27" s="62">
        <f t="shared" si="7"/>
        <v>297517.97146688536</v>
      </c>
      <c r="C27" s="63">
        <f t="shared" si="0"/>
        <v>1.9267646629261925</v>
      </c>
      <c r="D27" s="63">
        <f t="shared" si="1"/>
        <v>2.1909759729346727</v>
      </c>
      <c r="E27" s="63">
        <f t="shared" si="2"/>
        <v>2.493505453079838</v>
      </c>
      <c r="F27" s="63">
        <f t="shared" si="3"/>
        <v>2.8069684822060577</v>
      </c>
      <c r="G27" s="63">
        <f t="shared" si="4"/>
        <v>3.0632668127821483</v>
      </c>
      <c r="H27">
        <f t="shared" si="5"/>
        <v>1.131</v>
      </c>
      <c r="I27">
        <f t="shared" si="6"/>
        <v>1.49292</v>
      </c>
      <c r="O27" s="80" t="s">
        <v>156</v>
      </c>
      <c r="P27" s="86">
        <f>SQRT(Lp/Cr)/Rac</f>
        <v>2.2538366187016205E-2</v>
      </c>
    </row>
    <row r="28" spans="1:16">
      <c r="A28" s="61">
        <f t="shared" si="8"/>
        <v>48.256248969347112</v>
      </c>
      <c r="B28" s="62">
        <f t="shared" si="7"/>
        <v>303049.24352749984</v>
      </c>
      <c r="C28" s="63">
        <f t="shared" si="0"/>
        <v>1.8965931282189292</v>
      </c>
      <c r="D28" s="63">
        <f t="shared" si="1"/>
        <v>2.1291102799325907</v>
      </c>
      <c r="E28" s="63">
        <f t="shared" si="2"/>
        <v>2.3839917749710584</v>
      </c>
      <c r="F28" s="63">
        <f t="shared" si="3"/>
        <v>2.6346948611195207</v>
      </c>
      <c r="G28" s="63">
        <f t="shared" si="4"/>
        <v>2.8292924743465</v>
      </c>
      <c r="H28">
        <f t="shared" si="5"/>
        <v>1.131</v>
      </c>
      <c r="I28">
        <f t="shared" si="6"/>
        <v>1.49292</v>
      </c>
      <c r="O28" s="80" t="s">
        <v>157</v>
      </c>
      <c r="P28" s="86">
        <f>Lp/Lr</f>
        <v>5.6896551724137927</v>
      </c>
    </row>
    <row r="29" spans="1:16">
      <c r="A29" s="61">
        <f t="shared" si="8"/>
        <v>49.153399619972319</v>
      </c>
      <c r="B29" s="62">
        <f t="shared" si="7"/>
        <v>308683.34961342614</v>
      </c>
      <c r="C29" s="63">
        <f t="shared" si="0"/>
        <v>1.8636849440852832</v>
      </c>
      <c r="D29" s="63">
        <f t="shared" si="1"/>
        <v>2.0672576783588252</v>
      </c>
      <c r="E29" s="63">
        <f t="shared" si="2"/>
        <v>2.2817850075568389</v>
      </c>
      <c r="F29" s="63">
        <f t="shared" si="3"/>
        <v>2.4836374589095791</v>
      </c>
      <c r="G29" s="63">
        <f t="shared" si="4"/>
        <v>2.633909090723856</v>
      </c>
      <c r="H29">
        <f t="shared" si="5"/>
        <v>1.131</v>
      </c>
      <c r="I29">
        <f t="shared" si="6"/>
        <v>1.49292</v>
      </c>
    </row>
    <row r="30" spans="1:16">
      <c r="A30" s="61">
        <f t="shared" si="8"/>
        <v>50.067229546486303</v>
      </c>
      <c r="B30" s="62">
        <f t="shared" si="7"/>
        <v>314422.20155193401</v>
      </c>
      <c r="C30" s="63">
        <f t="shared" si="0"/>
        <v>1.829016239449816</v>
      </c>
      <c r="D30" s="63">
        <f t="shared" si="1"/>
        <v>2.0065768697259805</v>
      </c>
      <c r="E30" s="63">
        <f t="shared" si="2"/>
        <v>2.18719901704159</v>
      </c>
      <c r="F30" s="63">
        <f t="shared" si="3"/>
        <v>2.35084941918924</v>
      </c>
      <c r="G30" s="63">
        <f t="shared" si="4"/>
        <v>2.4686297178160874</v>
      </c>
      <c r="H30">
        <f t="shared" si="5"/>
        <v>1.131</v>
      </c>
      <c r="I30">
        <f t="shared" si="6"/>
        <v>1.49292</v>
      </c>
    </row>
    <row r="31" spans="1:16">
      <c r="A31" s="61">
        <f t="shared" si="8"/>
        <v>50.998048839779578</v>
      </c>
      <c r="B31" s="62">
        <f t="shared" si="7"/>
        <v>320267.74671381572</v>
      </c>
      <c r="C31" s="63">
        <f t="shared" si="0"/>
        <v>1.7933963249166125</v>
      </c>
      <c r="D31" s="63">
        <f t="shared" si="1"/>
        <v>1.9478555985518491</v>
      </c>
      <c r="E31" s="63">
        <f t="shared" si="2"/>
        <v>2.1001144529084033</v>
      </c>
      <c r="F31" s="63">
        <f t="shared" si="3"/>
        <v>2.2336993918141221</v>
      </c>
      <c r="G31" s="63">
        <f t="shared" si="4"/>
        <v>2.3272218859436009</v>
      </c>
      <c r="H31">
        <f t="shared" si="5"/>
        <v>1.131</v>
      </c>
      <c r="I31">
        <f t="shared" si="6"/>
        <v>1.49292</v>
      </c>
    </row>
    <row r="32" spans="1:16">
      <c r="A32" s="61">
        <f t="shared" si="8"/>
        <v>51.946173355762724</v>
      </c>
      <c r="B32" s="62">
        <f t="shared" si="7"/>
        <v>326221.96867418993</v>
      </c>
      <c r="C32" s="63">
        <f t="shared" si="0"/>
        <v>1.7574749584090164</v>
      </c>
      <c r="D32" s="63">
        <f t="shared" si="1"/>
        <v>1.8915936641209945</v>
      </c>
      <c r="E32" s="63">
        <f t="shared" si="2"/>
        <v>2.0201669939203426</v>
      </c>
      <c r="F32" s="63">
        <f t="shared" si="3"/>
        <v>2.1299179166003777</v>
      </c>
      <c r="G32" s="63">
        <f t="shared" si="4"/>
        <v>2.2050258427459606</v>
      </c>
      <c r="H32">
        <f t="shared" si="5"/>
        <v>1.131</v>
      </c>
      <c r="I32">
        <f t="shared" si="6"/>
        <v>1.49292</v>
      </c>
    </row>
    <row r="33" spans="1:9">
      <c r="A33" s="61">
        <f t="shared" si="8"/>
        <v>52.911924822546133</v>
      </c>
      <c r="B33" s="62">
        <f t="shared" si="7"/>
        <v>332286.88788558973</v>
      </c>
      <c r="C33" s="63">
        <f t="shared" si="0"/>
        <v>1.7217582912710647</v>
      </c>
      <c r="D33" s="63">
        <f t="shared" si="1"/>
        <v>1.8380759743502717</v>
      </c>
      <c r="E33" s="63">
        <f t="shared" si="2"/>
        <v>1.9468688691740819</v>
      </c>
      <c r="F33" s="63">
        <f t="shared" si="3"/>
        <v>2.0375812604605965</v>
      </c>
      <c r="G33" s="63">
        <f t="shared" si="4"/>
        <v>2.0984986563020338</v>
      </c>
      <c r="H33">
        <f t="shared" si="5"/>
        <v>1.131</v>
      </c>
      <c r="I33">
        <f t="shared" si="6"/>
        <v>1.49292</v>
      </c>
    </row>
    <row r="34" spans="1:9">
      <c r="A34" s="61">
        <f t="shared" si="8"/>
        <v>53.895630949612347</v>
      </c>
      <c r="B34" s="62">
        <f t="shared" si="7"/>
        <v>338464.56236356555</v>
      </c>
      <c r="C34" s="63">
        <f t="shared" si="0"/>
        <v>1.6866287666838486</v>
      </c>
      <c r="D34" s="63">
        <f t="shared" si="1"/>
        <v>1.7874323565750385</v>
      </c>
      <c r="E34" s="63">
        <f t="shared" si="2"/>
        <v>1.879684198340869</v>
      </c>
      <c r="F34" s="63">
        <f t="shared" si="3"/>
        <v>1.9550718466101915</v>
      </c>
      <c r="G34" s="63">
        <f t="shared" si="4"/>
        <v>2.0049045217906096</v>
      </c>
      <c r="H34">
        <f t="shared" si="5"/>
        <v>1.131</v>
      </c>
      <c r="I34">
        <f t="shared" si="6"/>
        <v>1.49292</v>
      </c>
    </row>
    <row r="35" spans="1:9">
      <c r="A35" s="61">
        <f t="shared" si="8"/>
        <v>54.897625539018058</v>
      </c>
      <c r="B35" s="62">
        <f t="shared" si="7"/>
        <v>344757.08838503342</v>
      </c>
      <c r="C35" s="63">
        <f t="shared" si="0"/>
        <v>1.6523657611962326</v>
      </c>
      <c r="D35" s="63">
        <f t="shared" si="1"/>
        <v>1.7396842327176494</v>
      </c>
      <c r="E35" s="63">
        <f t="shared" si="2"/>
        <v>1.818073774335828</v>
      </c>
      <c r="F35" s="63">
        <f t="shared" si="3"/>
        <v>1.8810333392482683</v>
      </c>
      <c r="G35" s="63">
        <f t="shared" si="4"/>
        <v>1.9221007703035988</v>
      </c>
      <c r="H35">
        <f t="shared" si="5"/>
        <v>1.131</v>
      </c>
      <c r="I35">
        <f t="shared" si="6"/>
        <v>1.49292</v>
      </c>
    </row>
    <row r="36" spans="1:9">
      <c r="A36" s="61">
        <f t="shared" si="8"/>
        <v>55.918248598663538</v>
      </c>
      <c r="B36" s="62">
        <f t="shared" si="7"/>
        <v>351166.60119960702</v>
      </c>
      <c r="C36" s="63">
        <f t="shared" si="0"/>
        <v>1.6191650356783918</v>
      </c>
      <c r="D36" s="63">
        <f t="shared" si="1"/>
        <v>1.6947798150845808</v>
      </c>
      <c r="E36" s="63">
        <f t="shared" si="2"/>
        <v>1.7615202615561381</v>
      </c>
      <c r="F36" s="63">
        <f t="shared" si="3"/>
        <v>1.8143281147624928</v>
      </c>
      <c r="G36" s="63">
        <f t="shared" si="4"/>
        <v>1.8483874688323194</v>
      </c>
      <c r="H36">
        <f t="shared" si="5"/>
        <v>1.131</v>
      </c>
      <c r="I36">
        <f t="shared" si="6"/>
        <v>1.49292</v>
      </c>
    </row>
    <row r="37" spans="1:9">
      <c r="A37" s="61">
        <f t="shared" si="8"/>
        <v>56.95784645766787</v>
      </c>
      <c r="B37" s="62">
        <f t="shared" si="7"/>
        <v>357695.27575415419</v>
      </c>
      <c r="C37" s="63">
        <f t="shared" si="0"/>
        <v>1.5871560024335167</v>
      </c>
      <c r="D37" s="63">
        <f t="shared" si="1"/>
        <v>1.6526199576557055</v>
      </c>
      <c r="E37" s="63">
        <f t="shared" si="2"/>
        <v>1.7095411676084811</v>
      </c>
      <c r="F37" s="63">
        <f t="shared" si="3"/>
        <v>1.75399993560505</v>
      </c>
      <c r="G37" s="63">
        <f t="shared" si="4"/>
        <v>1.7823999692648997</v>
      </c>
      <c r="H37">
        <f t="shared" si="5"/>
        <v>1.131</v>
      </c>
      <c r="I37">
        <f t="shared" si="6"/>
        <v>1.49292</v>
      </c>
    </row>
    <row r="38" spans="1:9">
      <c r="A38" s="61">
        <f t="shared" si="8"/>
        <v>58.016771883889177</v>
      </c>
      <c r="B38" s="62">
        <f t="shared" si="7"/>
        <v>364345.32743082405</v>
      </c>
      <c r="C38" s="63">
        <f t="shared" si="0"/>
        <v>1.5564164418060331</v>
      </c>
      <c r="D38" s="63">
        <f t="shared" si="1"/>
        <v>1.6130767349256838</v>
      </c>
      <c r="E38" s="63">
        <f t="shared" si="2"/>
        <v>1.6616943777656008</v>
      </c>
      <c r="F38" s="63">
        <f t="shared" si="3"/>
        <v>1.6992424019517538</v>
      </c>
      <c r="G38" s="63">
        <f t="shared" si="4"/>
        <v>1.7230309448472818</v>
      </c>
      <c r="H38">
        <f t="shared" si="5"/>
        <v>1.131</v>
      </c>
      <c r="I38">
        <f t="shared" si="6"/>
        <v>1.49292</v>
      </c>
    </row>
    <row r="39" spans="1:9">
      <c r="A39" s="61">
        <f t="shared" si="8"/>
        <v>59.095384203629735</v>
      </c>
      <c r="B39" s="62">
        <f t="shared" si="7"/>
        <v>371119.01279879472</v>
      </c>
      <c r="C39" s="63">
        <f t="shared" si="0"/>
        <v>1.5269846804105436</v>
      </c>
      <c r="D39" s="63">
        <f t="shared" si="1"/>
        <v>1.5760065315597844</v>
      </c>
      <c r="E39" s="63">
        <f t="shared" si="2"/>
        <v>1.6175793045126421</v>
      </c>
      <c r="F39" s="63">
        <f t="shared" si="3"/>
        <v>1.6493728102382743</v>
      </c>
      <c r="G39" s="63">
        <f t="shared" si="4"/>
        <v>1.6693729970663673</v>
      </c>
      <c r="H39">
        <f t="shared" si="5"/>
        <v>1.131</v>
      </c>
      <c r="I39">
        <f t="shared" si="6"/>
        <v>1.49292</v>
      </c>
    </row>
    <row r="40" spans="1:9">
      <c r="A40" s="61">
        <f t="shared" si="8"/>
        <v>60.19404942356654</v>
      </c>
      <c r="B40" s="62">
        <f t="shared" si="7"/>
        <v>378018.63037999789</v>
      </c>
      <c r="C40" s="63">
        <f t="shared" ref="C40:C71" si="9">(B40/wo)^2*(Ma-1)*IF(answer,MC,1)/SQRT((1-B40^2/wp^2)^2+(B40/wo)^2*(1-B40^2/wo^2)^2*((Ma-1)*Q.e)^2)</f>
        <v>1.4988694462734142</v>
      </c>
      <c r="D40" s="63">
        <f t="shared" ref="D40:D71" si="10">(B40/wo)^2*(Ma-1)*IF(answer,MC,1)/SQRT((1-B40^2/wp^2)^2+(B40/wo)^2*(1-B40^2/wo^2)^2*((Ma-1)*Q.e*0.8)^2)</f>
        <v>1.5412590794458407</v>
      </c>
      <c r="E40" s="63">
        <f t="shared" ref="E40:E71" si="11">(B40/wo)^2*(Ma-1)*IF(answer,MC,1)/SQRT((1-B40^2/wp^2)^2+(B40/wo)^2*(1-B40^2/wo^2)^2*((Ma-1)*Q.e*0.6)^2)</f>
        <v>1.5768355646658219</v>
      </c>
      <c r="F40" s="63">
        <f t="shared" ref="F40:F71" si="12">(B40/wo)^2*(Ma-1)*IF(answer,MC,1)/SQRT((1-B40^2/wp^2)^2+(B40/wo)^2*(1-B40^2/wo^2)^2*((Ma-1)*Q.e*0.4)^2)</f>
        <v>1.6038107134131299</v>
      </c>
      <c r="G40" s="63">
        <f t="shared" ref="G40:G71" si="13">(B40/wo)^2*(Ma-1)*IF(answer,MC,1)/SQRT((1-B40^2/wp^2)^2+(B40/wo)^2*(1-B40^2/wo^2)^2*((Ma-1)*Q.e*0.2)^2)</f>
        <v>1.6206758320832542</v>
      </c>
      <c r="H40">
        <f t="shared" ref="H40:H71" si="14">M_min</f>
        <v>1.131</v>
      </c>
      <c r="I40">
        <f t="shared" ref="I40:I71" si="15">Max_Gain_required</f>
        <v>1.49292</v>
      </c>
    </row>
    <row r="41" spans="1:9">
      <c r="A41" s="61">
        <f t="shared" si="8"/>
        <v>61.313140354948757</v>
      </c>
      <c r="B41" s="62">
        <f t="shared" si="7"/>
        <v>385046.52142907819</v>
      </c>
      <c r="C41" s="63">
        <f t="shared" si="9"/>
        <v>1.4720577050110049</v>
      </c>
      <c r="D41" s="63">
        <f t="shared" si="10"/>
        <v>1.5086835530057778</v>
      </c>
      <c r="E41" s="63">
        <f t="shared" si="11"/>
        <v>1.5391403627754909</v>
      </c>
      <c r="F41" s="63">
        <f t="shared" si="12"/>
        <v>1.5620604205311084</v>
      </c>
      <c r="G41" s="63">
        <f t="shared" si="13"/>
        <v>1.5763139054111903</v>
      </c>
      <c r="H41">
        <f t="shared" si="14"/>
        <v>1.131</v>
      </c>
      <c r="I41">
        <f t="shared" si="15"/>
        <v>1.49292</v>
      </c>
    </row>
    <row r="42" spans="1:9">
      <c r="A42" s="61">
        <f t="shared" si="8"/>
        <v>62.453036740104139</v>
      </c>
      <c r="B42" s="62">
        <f t="shared" si="7"/>
        <v>392205.07072785398</v>
      </c>
      <c r="C42" s="63">
        <f t="shared" si="9"/>
        <v>1.4465208013258888</v>
      </c>
      <c r="D42" s="63">
        <f t="shared" si="10"/>
        <v>1.4781325587031973</v>
      </c>
      <c r="E42" s="63">
        <f t="shared" si="11"/>
        <v>1.504205293558861</v>
      </c>
      <c r="F42" s="63">
        <f t="shared" si="12"/>
        <v>1.5236967315261125</v>
      </c>
      <c r="G42" s="63">
        <f t="shared" si="13"/>
        <v>1.5357616898920721</v>
      </c>
      <c r="H42">
        <f t="shared" si="14"/>
        <v>1.131</v>
      </c>
      <c r="I42">
        <f t="shared" si="15"/>
        <v>1.49292</v>
      </c>
    </row>
    <row r="43" spans="1:9">
      <c r="A43" s="61">
        <f t="shared" si="8"/>
        <v>63.614125381297434</v>
      </c>
      <c r="B43" s="62">
        <f t="shared" si="7"/>
        <v>399496.70739454788</v>
      </c>
      <c r="C43" s="63">
        <f t="shared" si="9"/>
        <v>1.4222192127637707</v>
      </c>
      <c r="D43" s="63">
        <f t="shared" si="10"/>
        <v>1.4494646359590799</v>
      </c>
      <c r="E43" s="63">
        <f t="shared" si="11"/>
        <v>1.4717729834128019</v>
      </c>
      <c r="F43" s="63">
        <f t="shared" si="12"/>
        <v>1.4883533005012024</v>
      </c>
      <c r="G43" s="63">
        <f t="shared" si="13"/>
        <v>1.4985745655079519</v>
      </c>
      <c r="H43">
        <f t="shared" si="14"/>
        <v>1.131</v>
      </c>
      <c r="I43">
        <f t="shared" si="15"/>
        <v>1.49292</v>
      </c>
    </row>
    <row r="44" spans="1:9">
      <c r="A44" s="61">
        <f t="shared" si="8"/>
        <v>64.796800271984381</v>
      </c>
      <c r="B44" s="62">
        <f t="shared" si="7"/>
        <v>406923.90570806194</v>
      </c>
      <c r="C44" s="63">
        <f t="shared" si="9"/>
        <v>1.3991061876874544</v>
      </c>
      <c r="D44" s="63">
        <f t="shared" si="10"/>
        <v>1.422545718911834</v>
      </c>
      <c r="E44" s="63">
        <f t="shared" si="11"/>
        <v>1.4416138091061326</v>
      </c>
      <c r="F44" s="63">
        <f t="shared" si="12"/>
        <v>1.4557131233605018</v>
      </c>
      <c r="G44" s="63">
        <f t="shared" si="13"/>
        <v>1.464373904097154</v>
      </c>
      <c r="H44">
        <f t="shared" si="14"/>
        <v>1.131</v>
      </c>
      <c r="I44">
        <f t="shared" si="15"/>
        <v>1.49292</v>
      </c>
    </row>
    <row r="45" spans="1:9">
      <c r="A45" s="61">
        <f t="shared" si="8"/>
        <v>66.001462730505949</v>
      </c>
      <c r="B45" s="62">
        <f t="shared" si="7"/>
        <v>414489.18594757735</v>
      </c>
      <c r="C45" s="63">
        <f t="shared" si="9"/>
        <v>1.377130498604231</v>
      </c>
      <c r="D45" s="63">
        <f t="shared" si="10"/>
        <v>1.3972498828114266</v>
      </c>
      <c r="E45" s="63">
        <f t="shared" si="11"/>
        <v>1.4135228199821139</v>
      </c>
      <c r="F45" s="63">
        <f t="shared" si="12"/>
        <v>1.4255007390013046</v>
      </c>
      <c r="G45" s="63">
        <f t="shared" si="13"/>
        <v>1.4328353188248097</v>
      </c>
      <c r="H45">
        <f t="shared" si="14"/>
        <v>1.131</v>
      </c>
      <c r="I45">
        <f t="shared" si="15"/>
        <v>1.49292</v>
      </c>
    </row>
    <row r="46" spans="1:9">
      <c r="A46" s="61">
        <f t="shared" si="8"/>
        <v>67.228521536268119</v>
      </c>
      <c r="B46" s="62">
        <f t="shared" si="7"/>
        <v>422195.11524776381</v>
      </c>
      <c r="C46" s="63">
        <f t="shared" si="9"/>
        <v>1.3562385018295198</v>
      </c>
      <c r="D46" s="63">
        <f t="shared" si="10"/>
        <v>1.373459606273514</v>
      </c>
      <c r="E46" s="63">
        <f t="shared" si="11"/>
        <v>1.3873169224134487</v>
      </c>
      <c r="F46" s="63">
        <f t="shared" si="12"/>
        <v>1.3974758130162088</v>
      </c>
      <c r="G46" s="63">
        <f t="shared" si="13"/>
        <v>1.4036793258952616</v>
      </c>
      <c r="H46">
        <f t="shared" si="14"/>
        <v>1.131</v>
      </c>
      <c r="I46">
        <f t="shared" si="15"/>
        <v>1.49292</v>
      </c>
    </row>
    <row r="47" spans="1:9">
      <c r="A47" s="61">
        <f t="shared" si="8"/>
        <v>68.478393068453428</v>
      </c>
      <c r="B47" s="62">
        <f t="shared" si="7"/>
        <v>430044.30846988753</v>
      </c>
      <c r="C47" s="63">
        <f t="shared" si="9"/>
        <v>1.3363756581652337</v>
      </c>
      <c r="D47" s="63">
        <f t="shared" si="10"/>
        <v>1.3510657132157575</v>
      </c>
      <c r="E47" s="63">
        <f t="shared" si="11"/>
        <v>1.3628323452989435</v>
      </c>
      <c r="F47" s="63">
        <f t="shared" si="12"/>
        <v>1.371427838614327</v>
      </c>
      <c r="G47" s="63">
        <f t="shared" si="13"/>
        <v>1.3766638626889536</v>
      </c>
      <c r="H47">
        <f t="shared" si="14"/>
        <v>1.131</v>
      </c>
      <c r="I47">
        <f t="shared" si="15"/>
        <v>1.49292</v>
      </c>
    </row>
    <row r="48" spans="1:9">
      <c r="A48" s="61">
        <f t="shared" si="8"/>
        <v>69.751501447311398</v>
      </c>
      <c r="B48" s="62">
        <f t="shared" si="7"/>
        <v>438039.42908911558</v>
      </c>
      <c r="C48" s="63">
        <f t="shared" si="9"/>
        <v>1.3174876380422524</v>
      </c>
      <c r="D48" s="63">
        <f t="shared" si="10"/>
        <v>1.3299671096330414</v>
      </c>
      <c r="E48" s="63">
        <f t="shared" si="11"/>
        <v>1.3399223825975501</v>
      </c>
      <c r="F48" s="63">
        <f t="shared" si="12"/>
        <v>1.3471717426659033</v>
      </c>
      <c r="G48" s="63">
        <f t="shared" si="13"/>
        <v>1.3515782474993028</v>
      </c>
      <c r="H48">
        <f t="shared" si="14"/>
        <v>1.131</v>
      </c>
      <c r="I48">
        <f t="shared" si="15"/>
        <v>1.49292</v>
      </c>
    </row>
    <row r="49" spans="1:9">
      <c r="A49" s="61">
        <f t="shared" si="8"/>
        <v>71.048278678075661</v>
      </c>
      <c r="B49" s="62">
        <f t="shared" si="7"/>
        <v>446183.19009831513</v>
      </c>
      <c r="C49" s="63">
        <f t="shared" si="9"/>
        <v>1.2995211085680103</v>
      </c>
      <c r="D49" s="63">
        <f t="shared" si="10"/>
        <v>1.3100703954615285</v>
      </c>
      <c r="E49" s="63">
        <f t="shared" si="11"/>
        <v>1.3184553966536414</v>
      </c>
      <c r="F49" s="63">
        <f t="shared" si="12"/>
        <v>1.3245442273380983</v>
      </c>
      <c r="G49" s="63">
        <f t="shared" si="13"/>
        <v>1.3282382682333234</v>
      </c>
      <c r="H49">
        <f t="shared" si="14"/>
        <v>1.131</v>
      </c>
      <c r="I49">
        <f t="shared" si="15"/>
        <v>1.49292</v>
      </c>
    </row>
    <row r="50" spans="1:9">
      <c r="A50" s="61">
        <f t="shared" si="8"/>
        <v>72.369164797556806</v>
      </c>
      <c r="B50" s="62">
        <f t="shared" si="7"/>
        <v>454478.35492865671</v>
      </c>
      <c r="C50" s="63">
        <f t="shared" si="9"/>
        <v>1.2824242787361806</v>
      </c>
      <c r="D50" s="63">
        <f t="shared" si="10"/>
        <v>1.2912894068784719</v>
      </c>
      <c r="E50" s="63">
        <f t="shared" si="11"/>
        <v>1.2983130602238688</v>
      </c>
      <c r="F50" s="63">
        <f t="shared" si="12"/>
        <v>1.3034007116469777</v>
      </c>
      <c r="G50" s="63">
        <f t="shared" si="13"/>
        <v>1.3064821622798937</v>
      </c>
      <c r="H50">
        <f t="shared" si="14"/>
        <v>1.131</v>
      </c>
      <c r="I50">
        <f t="shared" si="15"/>
        <v>1.49292</v>
      </c>
    </row>
    <row r="51" spans="1:9">
      <c r="A51" s="61">
        <f t="shared" si="8"/>
        <v>73.714608023460514</v>
      </c>
      <c r="B51" s="62">
        <f t="shared" si="7"/>
        <v>462927.73838733201</v>
      </c>
      <c r="C51" s="63">
        <f t="shared" si="9"/>
        <v>1.266147262072465</v>
      </c>
      <c r="D51" s="63">
        <f t="shared" si="10"/>
        <v>1.2735447267047704</v>
      </c>
      <c r="E51" s="63">
        <f t="shared" si="11"/>
        <v>1.2793888130714273</v>
      </c>
      <c r="F51" s="63">
        <f t="shared" si="12"/>
        <v>1.2836127641112851</v>
      </c>
      <c r="G51" s="63">
        <f t="shared" si="13"/>
        <v>1.2861673051025841</v>
      </c>
      <c r="H51">
        <f t="shared" si="14"/>
        <v>1.131</v>
      </c>
      <c r="I51">
        <f t="shared" si="15"/>
        <v>1.49292</v>
      </c>
    </row>
    <row r="52" spans="1:9">
      <c r="A52" s="61">
        <f t="shared" si="8"/>
        <v>75.08506490648179</v>
      </c>
      <c r="B52" s="62">
        <f t="shared" si="7"/>
        <v>471534.20761270565</v>
      </c>
      <c r="C52" s="63">
        <f t="shared" si="9"/>
        <v>1.2506423025326663</v>
      </c>
      <c r="D52" s="63">
        <f t="shared" si="10"/>
        <v>1.2567631880864036</v>
      </c>
      <c r="E52" s="63">
        <f t="shared" si="11"/>
        <v>1.2615865091309146</v>
      </c>
      <c r="F52" s="63">
        <f t="shared" si="12"/>
        <v>1.2650659389917129</v>
      </c>
      <c r="G52" s="63">
        <f t="shared" si="13"/>
        <v>1.2671674664361583</v>
      </c>
      <c r="H52">
        <f t="shared" si="14"/>
        <v>1.131</v>
      </c>
      <c r="I52">
        <f t="shared" si="15"/>
        <v>1.49292</v>
      </c>
    </row>
    <row r="53" spans="1:9">
      <c r="A53" s="61">
        <f t="shared" si="8"/>
        <v>76.481000485226744</v>
      </c>
      <c r="B53" s="62">
        <f t="shared" si="7"/>
        <v>480300.68304722395</v>
      </c>
      <c r="C53" s="63">
        <f t="shared" si="9"/>
        <v>1.2358638988969513</v>
      </c>
      <c r="D53" s="63">
        <f t="shared" si="10"/>
        <v>1.2408773878536081</v>
      </c>
      <c r="E53" s="63">
        <f t="shared" si="11"/>
        <v>1.2448192315688462</v>
      </c>
      <c r="F53" s="63">
        <f t="shared" si="12"/>
        <v>1.2476579455017778</v>
      </c>
      <c r="G53" s="63">
        <f t="shared" si="13"/>
        <v>1.2493705240857271</v>
      </c>
      <c r="H53">
        <f t="shared" si="14"/>
        <v>1.131</v>
      </c>
      <c r="I53">
        <f t="shared" si="15"/>
        <v>1.49292</v>
      </c>
    </row>
    <row r="54" spans="1:9">
      <c r="A54" s="61">
        <f t="shared" si="8"/>
        <v>77.902888444014692</v>
      </c>
      <c r="B54" s="62">
        <f t="shared" si="7"/>
        <v>489230.13942841225</v>
      </c>
      <c r="C54" s="63">
        <f t="shared" si="9"/>
        <v>1.2217688546533707</v>
      </c>
      <c r="D54" s="63">
        <f t="shared" si="10"/>
        <v>1.225825219828655</v>
      </c>
      <c r="E54" s="63">
        <f t="shared" si="11"/>
        <v>1.2290082549641275</v>
      </c>
      <c r="F54" s="63">
        <f t="shared" si="12"/>
        <v>1.2312970928150246</v>
      </c>
      <c r="G54" s="63">
        <f t="shared" si="13"/>
        <v>1.2326765489593146</v>
      </c>
      <c r="H54">
        <f t="shared" si="14"/>
        <v>1.131</v>
      </c>
      <c r="I54">
        <f t="shared" si="15"/>
        <v>1.49292</v>
      </c>
    </row>
    <row r="55" spans="1:9">
      <c r="A55" s="61">
        <f t="shared" si="8"/>
        <v>79.351211273613941</v>
      </c>
      <c r="B55" s="62">
        <f t="shared" si="7"/>
        <v>498325.60679829557</v>
      </c>
      <c r="C55" s="63">
        <f t="shared" si="9"/>
        <v>1.2083162739574331</v>
      </c>
      <c r="D55" s="63">
        <f t="shared" si="10"/>
        <v>1.2115494341099313</v>
      </c>
      <c r="E55" s="63">
        <f t="shared" si="11"/>
        <v>1.2140821359472302</v>
      </c>
      <c r="F55" s="63">
        <f t="shared" si="12"/>
        <v>1.2159009644047307</v>
      </c>
      <c r="G55" s="63">
        <f t="shared" si="13"/>
        <v>1.216996193051727</v>
      </c>
      <c r="H55">
        <f t="shared" si="14"/>
        <v>1.131</v>
      </c>
      <c r="I55">
        <f t="shared" si="15"/>
        <v>1.49292</v>
      </c>
    </row>
    <row r="56" spans="1:9">
      <c r="A56" s="61">
        <f t="shared" si="8"/>
        <v>80.826460434965909</v>
      </c>
      <c r="B56" s="62">
        <f t="shared" si="7"/>
        <v>507590.17153158592</v>
      </c>
      <c r="C56" s="63">
        <f t="shared" si="9"/>
        <v>1.195467519300506</v>
      </c>
      <c r="D56" s="63">
        <f t="shared" si="10"/>
        <v>1.1979972254537179</v>
      </c>
      <c r="E56" s="63">
        <f t="shared" si="11"/>
        <v>1.1999759157569081</v>
      </c>
      <c r="F56" s="63">
        <f t="shared" si="12"/>
        <v>1.2013952838151623</v>
      </c>
      <c r="G56" s="63">
        <f t="shared" si="13"/>
        <v>1.2022493260443319</v>
      </c>
      <c r="H56">
        <f t="shared" si="14"/>
        <v>1.131</v>
      </c>
      <c r="I56">
        <f t="shared" si="15"/>
        <v>1.49292</v>
      </c>
    </row>
    <row r="57" spans="1:9">
      <c r="A57" s="61">
        <f t="shared" si="8"/>
        <v>82.329136525953089</v>
      </c>
      <c r="B57" s="62">
        <f t="shared" si="7"/>
        <v>517026.97738298541</v>
      </c>
      <c r="C57" s="63">
        <f t="shared" si="9"/>
        <v>1.1831861427016455</v>
      </c>
      <c r="D57" s="63">
        <f t="shared" si="10"/>
        <v>1.1851198519141384</v>
      </c>
      <c r="E57" s="63">
        <f t="shared" si="11"/>
        <v>1.1866304201843734</v>
      </c>
      <c r="F57" s="63">
        <f t="shared" si="12"/>
        <v>1.1877129408310718</v>
      </c>
      <c r="G57" s="63">
        <f t="shared" si="13"/>
        <v>1.1883638770157712</v>
      </c>
      <c r="H57">
        <f t="shared" si="14"/>
        <v>1.131</v>
      </c>
      <c r="I57">
        <f t="shared" si="15"/>
        <v>1.49292</v>
      </c>
    </row>
    <row r="58" spans="1:9">
      <c r="A58" s="61">
        <f t="shared" si="8"/>
        <v>83.859749451267447</v>
      </c>
      <c r="B58" s="62">
        <f t="shared" si="7"/>
        <v>526639.22655395954</v>
      </c>
      <c r="C58" s="63">
        <f t="shared" si="9"/>
        <v>1.1714377993030742</v>
      </c>
      <c r="D58" s="63">
        <f t="shared" si="10"/>
        <v>1.1728722836065102</v>
      </c>
      <c r="E58" s="63">
        <f t="shared" si="11"/>
        <v>1.1739916442199716</v>
      </c>
      <c r="F58" s="63">
        <f t="shared" si="12"/>
        <v>1.1747931525391271</v>
      </c>
      <c r="G58" s="63">
        <f t="shared" si="13"/>
        <v>1.1752748462255982</v>
      </c>
      <c r="H58">
        <f t="shared" si="14"/>
        <v>1.131</v>
      </c>
      <c r="I58">
        <f t="shared" si="15"/>
        <v>1.49292</v>
      </c>
    </row>
    <row r="59" spans="1:9">
      <c r="A59" s="61">
        <f t="shared" si="8"/>
        <v>85.418818595436974</v>
      </c>
      <c r="B59" s="62">
        <f t="shared" si="7"/>
        <v>536430.18077934417</v>
      </c>
      <c r="C59" s="63">
        <f t="shared" si="9"/>
        <v>1.1601901500001828</v>
      </c>
      <c r="D59" s="63">
        <f t="shared" si="10"/>
        <v>1.1612128806304503</v>
      </c>
      <c r="E59" s="63">
        <f t="shared" si="11"/>
        <v>1.162010210374208</v>
      </c>
      <c r="F59" s="63">
        <f t="shared" si="12"/>
        <v>1.162580738238854</v>
      </c>
      <c r="G59" s="63">
        <f t="shared" si="13"/>
        <v>1.1629234585943655</v>
      </c>
      <c r="H59">
        <f t="shared" si="14"/>
        <v>1.131</v>
      </c>
      <c r="I59">
        <f t="shared" si="15"/>
        <v>1.49292</v>
      </c>
    </row>
    <row r="60" spans="1:9">
      <c r="A60" s="61">
        <f t="shared" si="8"/>
        <v>87.00687299906896</v>
      </c>
      <c r="B60" s="62">
        <f t="shared" si="7"/>
        <v>546403.16243415303</v>
      </c>
      <c r="C60" s="63">
        <f t="shared" si="9"/>
        <v>1.1494127580171598</v>
      </c>
      <c r="D60" s="63">
        <f t="shared" si="10"/>
        <v>1.1501030986847771</v>
      </c>
      <c r="E60" s="63">
        <f t="shared" si="11"/>
        <v>1.1506408911115757</v>
      </c>
      <c r="F60" s="63">
        <f t="shared" si="12"/>
        <v>1.1510254907791344</v>
      </c>
      <c r="G60" s="63">
        <f t="shared" si="13"/>
        <v>1.1512564357767308</v>
      </c>
      <c r="H60">
        <f t="shared" si="14"/>
        <v>1.131</v>
      </c>
      <c r="I60">
        <f t="shared" si="15"/>
        <v>1.49292</v>
      </c>
    </row>
    <row r="61" spans="1:9">
      <c r="A61" s="61">
        <f t="shared" si="8"/>
        <v>88.624451538369911</v>
      </c>
      <c r="B61" s="62">
        <f t="shared" si="7"/>
        <v>556561.55566096306</v>
      </c>
      <c r="C61" s="63">
        <f t="shared" si="9"/>
        <v>1.1390769830278555</v>
      </c>
      <c r="D61" s="63">
        <f t="shared" si="10"/>
        <v>1.1395072206256371</v>
      </c>
      <c r="E61" s="63">
        <f t="shared" si="11"/>
        <v>1.1398421871209603</v>
      </c>
      <c r="F61" s="63">
        <f t="shared" si="12"/>
        <v>1.1400816298400354</v>
      </c>
      <c r="G61" s="63">
        <f t="shared" si="13"/>
        <v>1.1402253679221988</v>
      </c>
      <c r="H61">
        <f t="shared" si="14"/>
        <v>1.131</v>
      </c>
      <c r="I61">
        <f t="shared" si="15"/>
        <v>1.49292</v>
      </c>
    </row>
    <row r="62" spans="1:9">
      <c r="A62" s="61">
        <f t="shared" si="8"/>
        <v>90.272103108003023</v>
      </c>
      <c r="B62" s="62">
        <f t="shared" si="7"/>
        <v>566908.80751825904</v>
      </c>
      <c r="C62" s="63">
        <f t="shared" si="9"/>
        <v>1.1291558754242805</v>
      </c>
      <c r="D62" s="63">
        <f t="shared" si="10"/>
        <v>1.1293921120909334</v>
      </c>
      <c r="E62" s="63">
        <f t="shared" si="11"/>
        <v>1.1295759542652177</v>
      </c>
      <c r="F62" s="63">
        <f t="shared" si="12"/>
        <v>1.1297073250833565</v>
      </c>
      <c r="G62" s="63">
        <f t="shared" si="13"/>
        <v>1.1297861695787754</v>
      </c>
      <c r="H62">
        <f t="shared" si="14"/>
        <v>1.131</v>
      </c>
      <c r="I62">
        <f t="shared" si="15"/>
        <v>1.49292</v>
      </c>
    </row>
    <row r="63" spans="1:9">
      <c r="A63" s="61">
        <f t="shared" si="8"/>
        <v>91.950386807345154</v>
      </c>
      <c r="B63" s="62">
        <f t="shared" si="7"/>
        <v>577448.42915012757</v>
      </c>
      <c r="C63" s="63">
        <f t="shared" si="9"/>
        <v>1.1196240725795219</v>
      </c>
      <c r="D63" s="63">
        <f t="shared" si="10"/>
        <v>1.1197269992876353</v>
      </c>
      <c r="E63" s="63">
        <f t="shared" si="11"/>
        <v>1.1198070730218204</v>
      </c>
      <c r="F63" s="63">
        <f t="shared" si="12"/>
        <v>1.1198642790649307</v>
      </c>
      <c r="G63" s="63">
        <f t="shared" si="13"/>
        <v>1.1198986068993488</v>
      </c>
      <c r="H63">
        <f t="shared" si="14"/>
        <v>1.131</v>
      </c>
      <c r="I63">
        <f t="shared" si="15"/>
        <v>1.49292</v>
      </c>
    </row>
    <row r="64" spans="1:9">
      <c r="A64" s="61">
        <f t="shared" si="8"/>
        <v>93.659872130206651</v>
      </c>
      <c r="B64" s="62">
        <f t="shared" si="7"/>
        <v>588183.99697769783</v>
      </c>
      <c r="C64" s="63">
        <f t="shared" si="9"/>
        <v>1.1104576983815508</v>
      </c>
      <c r="D64" s="63">
        <f t="shared" si="10"/>
        <v>1.1104832670782763</v>
      </c>
      <c r="E64" s="63">
        <f t="shared" si="11"/>
        <v>1.1105031550635092</v>
      </c>
      <c r="F64" s="63">
        <f t="shared" si="12"/>
        <v>1.1105173614214727</v>
      </c>
      <c r="G64" s="63">
        <f t="shared" si="13"/>
        <v>1.1105258854979581</v>
      </c>
      <c r="H64">
        <f t="shared" si="14"/>
        <v>1.131</v>
      </c>
      <c r="I64">
        <f t="shared" si="15"/>
        <v>1.49292</v>
      </c>
    </row>
    <row r="65" spans="1:9">
      <c r="A65" s="61">
        <f t="shared" si="8"/>
        <v>95.401139158078294</v>
      </c>
      <c r="B65" s="62">
        <f t="shared" si="7"/>
        <v>599119.15391273168</v>
      </c>
      <c r="C65" s="63">
        <f t="shared" si="9"/>
        <v>1.1016342668862094</v>
      </c>
      <c r="D65" s="63">
        <f t="shared" si="10"/>
        <v>1.1016342755841815</v>
      </c>
      <c r="E65" s="63">
        <f t="shared" si="11"/>
        <v>1.1016342823492711</v>
      </c>
      <c r="F65" s="63">
        <f t="shared" si="12"/>
        <v>1.1016342871814779</v>
      </c>
      <c r="G65" s="63">
        <f t="shared" si="13"/>
        <v>1.1016342900808023</v>
      </c>
      <c r="H65">
        <f t="shared" si="14"/>
        <v>1.131</v>
      </c>
      <c r="I65">
        <f t="shared" si="15"/>
        <v>1.49292</v>
      </c>
    </row>
    <row r="66" spans="1:9">
      <c r="A66" s="61">
        <f t="shared" si="8"/>
        <v>97.174778756970937</v>
      </c>
      <c r="B66" s="62">
        <f t="shared" si="7"/>
        <v>610257.6105937775</v>
      </c>
      <c r="C66" s="63">
        <f t="shared" si="9"/>
        <v>1.0931325906181077</v>
      </c>
      <c r="D66" s="63">
        <f t="shared" si="10"/>
        <v>1.0931551936283561</v>
      </c>
      <c r="E66" s="63">
        <f t="shared" si="11"/>
        <v>1.0931727747168283</v>
      </c>
      <c r="F66" s="63">
        <f t="shared" si="12"/>
        <v>1.0931853331565236</v>
      </c>
      <c r="G66" s="63">
        <f t="shared" si="13"/>
        <v>1.0931928684280958</v>
      </c>
      <c r="H66">
        <f t="shared" si="14"/>
        <v>1.131</v>
      </c>
      <c r="I66">
        <f t="shared" si="15"/>
        <v>1.49292</v>
      </c>
    </row>
    <row r="67" spans="1:9">
      <c r="A67" s="61">
        <f t="shared" si="8"/>
        <v>98.981392777914735</v>
      </c>
      <c r="B67" s="62">
        <f t="shared" si="7"/>
        <v>621603.14664530451</v>
      </c>
      <c r="C67" s="63">
        <f t="shared" si="9"/>
        <v>1.0849326938117447</v>
      </c>
      <c r="D67" s="63">
        <f t="shared" si="10"/>
        <v>1.0850228474588464</v>
      </c>
      <c r="E67" s="63">
        <f t="shared" si="11"/>
        <v>1.0850929825019997</v>
      </c>
      <c r="F67" s="63">
        <f t="shared" si="12"/>
        <v>1.0851430872890064</v>
      </c>
      <c r="G67" s="63">
        <f t="shared" si="13"/>
        <v>1.0851731534930242</v>
      </c>
      <c r="H67">
        <f t="shared" si="14"/>
        <v>1.131</v>
      </c>
      <c r="I67">
        <f t="shared" si="15"/>
        <v>1.49292</v>
      </c>
    </row>
    <row r="68" spans="1:9">
      <c r="A68" s="61">
        <f t="shared" si="8"/>
        <v>100.82159426118591</v>
      </c>
      <c r="B68" s="62">
        <f t="shared" si="7"/>
        <v>633159.61196024751</v>
      </c>
      <c r="C68" s="63">
        <f t="shared" si="9"/>
        <v>1.0770157307119415</v>
      </c>
      <c r="D68" s="63">
        <f t="shared" si="10"/>
        <v>1.0772155833155621</v>
      </c>
      <c r="E68" s="63">
        <f t="shared" si="11"/>
        <v>1.0773711011696676</v>
      </c>
      <c r="F68" s="63">
        <f t="shared" si="12"/>
        <v>1.0774822265988837</v>
      </c>
      <c r="G68" s="63">
        <f t="shared" si="13"/>
        <v>1.0775489183640081</v>
      </c>
      <c r="H68">
        <f t="shared" si="14"/>
        <v>1.131</v>
      </c>
      <c r="I68">
        <f t="shared" si="15"/>
        <v>1.49292</v>
      </c>
    </row>
    <row r="69" spans="1:9">
      <c r="A69" s="61">
        <f t="shared" si="8"/>
        <v>102.69600764433034</v>
      </c>
      <c r="B69" s="62">
        <f t="shared" si="7"/>
        <v>644930.92800639453</v>
      </c>
      <c r="C69" s="63">
        <f t="shared" si="9"/>
        <v>1.0693639089276963</v>
      </c>
      <c r="D69" s="63">
        <f t="shared" si="10"/>
        <v>1.0697131425249811</v>
      </c>
      <c r="E69" s="63">
        <f t="shared" si="11"/>
        <v>1.0699850053364279</v>
      </c>
      <c r="F69" s="63">
        <f t="shared" si="12"/>
        <v>1.0701793200130476</v>
      </c>
      <c r="G69" s="63">
        <f t="shared" si="13"/>
        <v>1.0702959596468042</v>
      </c>
      <c r="H69">
        <f t="shared" si="14"/>
        <v>1.131</v>
      </c>
      <c r="I69">
        <f t="shared" si="15"/>
        <v>1.49292</v>
      </c>
    </row>
    <row r="70" spans="1:9">
      <c r="A70" s="61">
        <f t="shared" si="8"/>
        <v>104.60526897405464</v>
      </c>
      <c r="B70" s="62">
        <f t="shared" si="7"/>
        <v>656921.08915706316</v>
      </c>
      <c r="C70" s="63">
        <f t="shared" si="9"/>
        <v>1.0619604177450011</v>
      </c>
      <c r="D70" s="63">
        <f t="shared" si="10"/>
        <v>1.0624965479242583</v>
      </c>
      <c r="E70" s="63">
        <f t="shared" si="11"/>
        <v>1.0629140999052911</v>
      </c>
      <c r="F70" s="63">
        <f t="shared" si="12"/>
        <v>1.0632126528986607</v>
      </c>
      <c r="G70" s="63">
        <f t="shared" si="13"/>
        <v>1.0633919054954968</v>
      </c>
      <c r="H70">
        <f t="shared" si="14"/>
        <v>1.131</v>
      </c>
      <c r="I70">
        <f t="shared" si="15"/>
        <v>1.49292</v>
      </c>
    </row>
    <row r="71" spans="1:9">
      <c r="A71" s="61">
        <f t="shared" si="8"/>
        <v>106.55002612205656</v>
      </c>
      <c r="B71" s="62">
        <f t="shared" si="7"/>
        <v>669134.16404651524</v>
      </c>
      <c r="C71" s="63">
        <f t="shared" si="9"/>
        <v>1.0547893612431816</v>
      </c>
      <c r="D71" s="63">
        <f t="shared" si="10"/>
        <v>1.0555480005271556</v>
      </c>
      <c r="E71" s="63">
        <f t="shared" si="11"/>
        <v>1.0561391863260514</v>
      </c>
      <c r="F71" s="63">
        <f t="shared" si="12"/>
        <v>1.0565620705741829</v>
      </c>
      <c r="G71" s="63">
        <f t="shared" si="13"/>
        <v>1.0568160450817417</v>
      </c>
      <c r="H71">
        <f t="shared" si="14"/>
        <v>1.131</v>
      </c>
      <c r="I71">
        <f t="shared" si="15"/>
        <v>1.49292</v>
      </c>
    </row>
    <row r="72" spans="1:9">
      <c r="A72" s="61">
        <f t="shared" si="8"/>
        <v>108.530939004868</v>
      </c>
      <c r="B72" s="62">
        <f t="shared" si="7"/>
        <v>681574.29695057101</v>
      </c>
      <c r="C72" s="63">
        <f t="shared" ref="C72:C103" si="16">(B72/wo)^2*(Ma-1)*IF(answer,MC,1)/SQRT((1-B72^2/wp^2)^2+(B72/wo)^2*(1-B72^2/wo^2)^2*((Ma-1)*Q.e)^2)</f>
        <v>1.0478356960190469</v>
      </c>
      <c r="D72" s="63">
        <f t="shared" ref="D72:D103" si="17">(B72/wo)^2*(Ma-1)*IF(answer,MC,1)/SQRT((1-B72^2/wp^2)^2+(B72/wo)^2*(1-B72^2/wo^2)^2*((Ma-1)*Q.e*0.8)^2)</f>
        <v>1.0488507854476761</v>
      </c>
      <c r="E72" s="63">
        <f t="shared" ref="E72:E103" si="18">(B72/wo)^2*(Ma-1)*IF(answer,MC,1)/SQRT((1-B72^2/wp^2)^2+(B72/wo)^2*(1-B72^2/wo^2)^2*((Ma-1)*Q.e*0.6)^2)</f>
        <v>1.0496423422478647</v>
      </c>
      <c r="F72" s="63">
        <f t="shared" ref="F72:F103" si="19">(B72/wo)^2*(Ma-1)*IF(answer,MC,1)/SQRT((1-B72^2/wp^2)^2+(B72/wo)^2*(1-B72^2/wo^2)^2*((Ma-1)*Q.e*0.4)^2)</f>
        <v>1.0502088384536115</v>
      </c>
      <c r="G72" s="63">
        <f t="shared" ref="G72:G103" si="20">(B72/wo)^2*(Ma-1)*IF(answer,MC,1)/SQRT((1-B72^2/wp^2)^2+(B72/wo)^2*(1-B72^2/wo^2)^2*((Ma-1)*Q.e*0.2)^2)</f>
        <v>1.050549176760122</v>
      </c>
      <c r="H72">
        <f t="shared" ref="H72:H103" si="21">M_min</f>
        <v>1.131</v>
      </c>
      <c r="I72">
        <f t="shared" ref="I72:I103" si="22">Max_Gain_required</f>
        <v>1.49292</v>
      </c>
    </row>
    <row r="73" spans="1:9">
      <c r="A73" s="61">
        <f t="shared" si="8"/>
        <v>110.54867980778519</v>
      </c>
      <c r="B73" s="62">
        <f t="shared" ref="B73:B110" si="23">2000*3.14*A73</f>
        <v>694245.70919289102</v>
      </c>
      <c r="C73" s="63">
        <f t="shared" si="16"/>
        <v>1.0410851732982662</v>
      </c>
      <c r="D73" s="63">
        <f t="shared" si="17"/>
        <v>1.0423891861928578</v>
      </c>
      <c r="E73" s="63">
        <f t="shared" si="18"/>
        <v>1.0434068130489551</v>
      </c>
      <c r="F73" s="63">
        <f t="shared" si="19"/>
        <v>1.0441355168025017</v>
      </c>
      <c r="G73" s="63">
        <f t="shared" si="20"/>
        <v>1.044573472580506</v>
      </c>
      <c r="H73">
        <f t="shared" si="21"/>
        <v>1.131</v>
      </c>
      <c r="I73">
        <f t="shared" si="22"/>
        <v>1.49292</v>
      </c>
    </row>
    <row r="74" spans="1:9">
      <c r="A74" s="61">
        <f t="shared" ref="A74:A125" si="24">A73*10^0.008</f>
        <v>112.60393321296203</v>
      </c>
      <c r="B74" s="62">
        <f t="shared" si="23"/>
        <v>707152.70057740156</v>
      </c>
      <c r="C74" s="63">
        <f t="shared" si="16"/>
        <v>1.0345242851999938</v>
      </c>
      <c r="D74" s="63">
        <f t="shared" si="17"/>
        <v>1.0361484065238191</v>
      </c>
      <c r="E74" s="63">
        <f t="shared" si="18"/>
        <v>1.0374169139172296</v>
      </c>
      <c r="F74" s="63">
        <f t="shared" si="19"/>
        <v>1.0383258483585276</v>
      </c>
      <c r="G74" s="63">
        <f t="shared" si="20"/>
        <v>1.0388723571291711</v>
      </c>
      <c r="H74">
        <f t="shared" si="21"/>
        <v>1.131</v>
      </c>
      <c r="I74">
        <f t="shared" si="22"/>
        <v>1.49292</v>
      </c>
    </row>
    <row r="75" spans="1:9">
      <c r="A75" s="61">
        <f t="shared" si="24"/>
        <v>114.69739663174407</v>
      </c>
      <c r="B75" s="62">
        <f t="shared" si="23"/>
        <v>720299.65084735281</v>
      </c>
      <c r="C75" s="63">
        <f t="shared" si="16"/>
        <v>1.0281402149157102</v>
      </c>
      <c r="D75" s="63">
        <f t="shared" si="17"/>
        <v>1.0301144991639648</v>
      </c>
      <c r="E75" s="63">
        <f t="shared" si="18"/>
        <v>1.0316579413190343</v>
      </c>
      <c r="F75" s="63">
        <f t="shared" si="19"/>
        <v>1.0327646573026332</v>
      </c>
      <c r="G75" s="63">
        <f t="shared" si="20"/>
        <v>1.0334303989598679</v>
      </c>
      <c r="H75">
        <f t="shared" si="21"/>
        <v>1.131</v>
      </c>
      <c r="I75">
        <f t="shared" si="22"/>
        <v>1.49292</v>
      </c>
    </row>
    <row r="76" spans="1:9">
      <c r="A76" s="61">
        <f t="shared" si="24"/>
        <v>116.82978044132177</v>
      </c>
      <c r="B76" s="62">
        <f t="shared" si="23"/>
        <v>733691.02117150079</v>
      </c>
      <c r="C76" s="63">
        <f t="shared" si="16"/>
        <v>1.0219207905642069</v>
      </c>
      <c r="D76" s="63">
        <f t="shared" si="17"/>
        <v>1.0242743007057122</v>
      </c>
      <c r="E76" s="63">
        <f t="shared" si="18"/>
        <v>1.0261160928350541</v>
      </c>
      <c r="F76" s="63">
        <f t="shared" si="19"/>
        <v>1.0274377582658647</v>
      </c>
      <c r="G76" s="63">
        <f t="shared" si="20"/>
        <v>1.0282332131126566</v>
      </c>
      <c r="H76">
        <f t="shared" si="21"/>
        <v>1.131</v>
      </c>
      <c r="I76">
        <f t="shared" si="22"/>
        <v>1.49292</v>
      </c>
    </row>
    <row r="77" spans="1:9">
      <c r="A77" s="61">
        <f t="shared" si="24"/>
        <v>119.00180822578366</v>
      </c>
      <c r="B77" s="62">
        <f t="shared" si="23"/>
        <v>747331.35565792141</v>
      </c>
      <c r="C77" s="63">
        <f t="shared" si="16"/>
        <v>1.0158544424898999</v>
      </c>
      <c r="D77" s="63">
        <f t="shared" si="17"/>
        <v>1.018615372132583</v>
      </c>
      <c r="E77" s="63">
        <f t="shared" si="18"/>
        <v>1.0207783944654236</v>
      </c>
      <c r="F77" s="63">
        <f t="shared" si="19"/>
        <v>1.0223318742272454</v>
      </c>
      <c r="G77" s="63">
        <f t="shared" si="20"/>
        <v>1.0232673734194655</v>
      </c>
      <c r="H77">
        <f t="shared" si="21"/>
        <v>1.131</v>
      </c>
      <c r="I77">
        <f t="shared" si="22"/>
        <v>1.49292</v>
      </c>
    </row>
    <row r="78" spans="1:9">
      <c r="A78" s="61">
        <f t="shared" si="24"/>
        <v>121.2142170216508</v>
      </c>
      <c r="B78" s="62">
        <f t="shared" si="23"/>
        <v>761225.28289596702</v>
      </c>
      <c r="C78" s="63">
        <f t="shared" si="16"/>
        <v>1.0099301637797624</v>
      </c>
      <c r="D78" s="63">
        <f t="shared" si="17"/>
        <v>1.0131259444325498</v>
      </c>
      <c r="E78" s="63">
        <f t="shared" si="18"/>
        <v>1.0156326346131419</v>
      </c>
      <c r="F78" s="63">
        <f t="shared" si="19"/>
        <v>1.0174345623040213</v>
      </c>
      <c r="G78" s="63">
        <f t="shared" si="20"/>
        <v>1.0185203334666126</v>
      </c>
      <c r="H78">
        <f t="shared" si="21"/>
        <v>1.131</v>
      </c>
      <c r="I78">
        <f t="shared" si="22"/>
        <v>1.49292</v>
      </c>
    </row>
    <row r="79" spans="1:9">
      <c r="A79" s="61">
        <f t="shared" si="24"/>
        <v>123.46775756797625</v>
      </c>
      <c r="B79" s="62">
        <f t="shared" si="23"/>
        <v>775377.51752689085</v>
      </c>
      <c r="C79" s="63">
        <f t="shared" si="16"/>
        <v>1.0041374737842554</v>
      </c>
      <c r="D79" s="63">
        <f t="shared" si="17"/>
        <v>1.0077948688316936</v>
      </c>
      <c r="E79" s="63">
        <f t="shared" si="18"/>
        <v>1.0106673040481131</v>
      </c>
      <c r="F79" s="63">
        <f t="shared" si="19"/>
        <v>1.0127341465611353</v>
      </c>
      <c r="G79" s="63">
        <f t="shared" si="20"/>
        <v>1.0139803552309583</v>
      </c>
      <c r="H79">
        <f t="shared" si="21"/>
        <v>1.131</v>
      </c>
      <c r="I79">
        <f t="shared" si="22"/>
        <v>1.49292</v>
      </c>
    </row>
    <row r="80" spans="1:9">
      <c r="A80" s="61">
        <f t="shared" si="24"/>
        <v>125.76319456109412</v>
      </c>
      <c r="B80" s="62">
        <f t="shared" si="23"/>
        <v>789792.86184367107</v>
      </c>
      <c r="C80" s="63">
        <f t="shared" si="16"/>
        <v>0.99846638443878744</v>
      </c>
      <c r="D80" s="63">
        <f t="shared" si="17"/>
        <v>1.0026115712249761</v>
      </c>
      <c r="E80" s="63">
        <f t="shared" si="18"/>
        <v>1.0058715412354344</v>
      </c>
      <c r="F80" s="63">
        <f t="shared" si="19"/>
        <v>1.0082196570748756</v>
      </c>
      <c r="G80" s="63">
        <f t="shared" si="20"/>
        <v>1.0096364445317361</v>
      </c>
      <c r="H80">
        <f t="shared" si="21"/>
        <v>1.131</v>
      </c>
      <c r="I80">
        <f t="shared" si="22"/>
        <v>1.49292</v>
      </c>
    </row>
    <row r="81" spans="1:9">
      <c r="A81" s="61">
        <f t="shared" si="24"/>
        <v>128.10130691410481</v>
      </c>
      <c r="B81" s="62">
        <f t="shared" si="23"/>
        <v>804476.20742057823</v>
      </c>
      <c r="C81" s="63">
        <f t="shared" si="16"/>
        <v>0.99290736919403633</v>
      </c>
      <c r="D81" s="63">
        <f t="shared" si="17"/>
        <v>0.99756601042380766</v>
      </c>
      <c r="E81" s="63">
        <f t="shared" si="18"/>
        <v>1.0012350824826017</v>
      </c>
      <c r="F81" s="63">
        <f t="shared" si="19"/>
        <v>1.0038807745790468</v>
      </c>
      <c r="G81" s="63">
        <f t="shared" si="20"/>
        <v>1.0054782925478438</v>
      </c>
      <c r="H81">
        <f t="shared" si="21"/>
        <v>1.131</v>
      </c>
      <c r="I81">
        <f t="shared" si="22"/>
        <v>1.49292</v>
      </c>
    </row>
    <row r="82" spans="1:9">
      <c r="A82" s="61">
        <f t="shared" si="24"/>
        <v>130.48288802118446</v>
      </c>
      <c r="B82" s="62">
        <f t="shared" si="23"/>
        <v>819432.53677303845</v>
      </c>
      <c r="C82" s="63">
        <f t="shared" si="16"/>
        <v>0.98745133437542698</v>
      </c>
      <c r="D82" s="63">
        <f t="shared" si="17"/>
        <v>0.99264863987855378</v>
      </c>
      <c r="E82" s="63">
        <f t="shared" si="18"/>
        <v>0.99674821642246825</v>
      </c>
      <c r="F82" s="63">
        <f t="shared" si="19"/>
        <v>0.99970778010281958</v>
      </c>
      <c r="G82" s="63">
        <f t="shared" si="20"/>
        <v>1.0014962227431172</v>
      </c>
      <c r="H82">
        <f t="shared" si="21"/>
        <v>1.131</v>
      </c>
      <c r="I82">
        <f t="shared" si="22"/>
        <v>1.49292</v>
      </c>
    </row>
    <row r="83" spans="1:9">
      <c r="A83" s="61">
        <f t="shared" si="24"/>
        <v>132.90874602680819</v>
      </c>
      <c r="B83" s="62">
        <f t="shared" si="23"/>
        <v>834666.92504835548</v>
      </c>
      <c r="C83" s="63">
        <f t="shared" si="16"/>
        <v>0.98208959280387131</v>
      </c>
      <c r="D83" s="63">
        <f t="shared" si="17"/>
        <v>0.98785037256859798</v>
      </c>
      <c r="E83" s="63">
        <f t="shared" si="18"/>
        <v>0.99240174240326773</v>
      </c>
      <c r="F83" s="63">
        <f t="shared" si="19"/>
        <v>0.99569150907951398</v>
      </c>
      <c r="G83" s="63">
        <f t="shared" si="20"/>
        <v>0.99768114262217711</v>
      </c>
      <c r="H83">
        <f t="shared" si="21"/>
        <v>1.131</v>
      </c>
      <c r="I83">
        <f t="shared" si="22"/>
        <v>1.49292</v>
      </c>
    </row>
    <row r="84" spans="1:9">
      <c r="A84" s="61">
        <f t="shared" si="24"/>
        <v>135.37970409997865</v>
      </c>
      <c r="B84" s="62">
        <f t="shared" si="23"/>
        <v>850184.54174786597</v>
      </c>
      <c r="C84" s="63">
        <f t="shared" si="16"/>
        <v>0.97681383952141387</v>
      </c>
      <c r="D84" s="63">
        <f t="shared" si="17"/>
        <v>0.98316254878348541</v>
      </c>
      <c r="E84" s="63">
        <f t="shared" si="18"/>
        <v>0.98818693240485744</v>
      </c>
      <c r="F84" s="63">
        <f t="shared" si="19"/>
        <v>0.99182330946652097</v>
      </c>
      <c r="G84" s="63">
        <f t="shared" si="20"/>
        <v>0.99402449980870078</v>
      </c>
      <c r="H84">
        <f t="shared" si="21"/>
        <v>1.131</v>
      </c>
      <c r="I84">
        <f t="shared" si="22"/>
        <v>1.49292</v>
      </c>
    </row>
    <row r="85" spans="1:9">
      <c r="A85" s="61">
        <f t="shared" si="24"/>
        <v>137.89660071355289</v>
      </c>
      <c r="B85" s="62">
        <f t="shared" si="23"/>
        <v>865990.65248111216</v>
      </c>
      <c r="C85" s="63">
        <f t="shared" si="16"/>
        <v>0.97161612947642673</v>
      </c>
      <c r="D85" s="63">
        <f t="shared" si="17"/>
        <v>0.97857690654635887</v>
      </c>
      <c r="E85" s="63">
        <f t="shared" si="18"/>
        <v>0.98409549614236147</v>
      </c>
      <c r="F85" s="63">
        <f t="shared" si="19"/>
        <v>0.98809500346963075</v>
      </c>
      <c r="G85" s="63">
        <f t="shared" si="20"/>
        <v>0.99051824199803651</v>
      </c>
      <c r="H85">
        <f t="shared" si="21"/>
        <v>1.131</v>
      </c>
      <c r="I85">
        <f t="shared" si="22"/>
        <v>1.49292</v>
      </c>
    </row>
    <row r="86" spans="1:9">
      <c r="A86" s="61">
        <f t="shared" si="24"/>
        <v>140.46028992876217</v>
      </c>
      <c r="B86" s="62">
        <f t="shared" si="23"/>
        <v>882090.62075262645</v>
      </c>
      <c r="C86" s="63">
        <f t="shared" si="16"/>
        <v>0.96648885703348175</v>
      </c>
      <c r="D86" s="63">
        <f t="shared" si="17"/>
        <v>0.97408555445572242</v>
      </c>
      <c r="E86" s="63">
        <f t="shared" si="18"/>
        <v>0.98011954905544607</v>
      </c>
      <c r="F86" s="63">
        <f t="shared" si="19"/>
        <v>0.98449885251137947</v>
      </c>
      <c r="G86" s="63">
        <f t="shared" si="20"/>
        <v>0.98715478038828153</v>
      </c>
      <c r="H86">
        <f t="shared" si="21"/>
        <v>1.131</v>
      </c>
      <c r="I86">
        <f t="shared" si="22"/>
        <v>1.49292</v>
      </c>
    </row>
    <row r="87" spans="1:9">
      <c r="A87" s="61">
        <f t="shared" si="24"/>
        <v>143.07164168502155</v>
      </c>
      <c r="B87" s="62">
        <f t="shared" si="23"/>
        <v>898489.90978193528</v>
      </c>
      <c r="C87" s="63">
        <f t="shared" si="16"/>
        <v>0.9614247371828325</v>
      </c>
      <c r="D87" s="63">
        <f t="shared" si="17"/>
        <v>0.96968094674379302</v>
      </c>
      <c r="E87" s="63">
        <f t="shared" si="18"/>
        <v>0.97625158291409342</v>
      </c>
      <c r="F87" s="63">
        <f t="shared" si="19"/>
        <v>0.9810275251235212</v>
      </c>
      <c r="G87" s="63">
        <f t="shared" si="20"/>
        <v>0.98392695623940196</v>
      </c>
      <c r="H87">
        <f t="shared" si="21"/>
        <v>1.131</v>
      </c>
      <c r="I87">
        <f t="shared" si="22"/>
        <v>1.49292</v>
      </c>
    </row>
    <row r="88" spans="1:9">
      <c r="A88" s="61">
        <f t="shared" si="24"/>
        <v>145.73154209512734</v>
      </c>
      <c r="B88" s="62">
        <f t="shared" si="23"/>
        <v>915194.08435739973</v>
      </c>
      <c r="C88" s="63">
        <f t="shared" si="16"/>
        <v>0.95641678833362187</v>
      </c>
      <c r="D88" s="63">
        <f t="shared" si="17"/>
        <v>0.96535586036964316</v>
      </c>
      <c r="E88" s="63">
        <f t="shared" si="18"/>
        <v>0.9724844388005992</v>
      </c>
      <c r="F88" s="63">
        <f t="shared" si="19"/>
        <v>0.97767406747925412</v>
      </c>
      <c r="G88" s="63">
        <f t="shared" si="20"/>
        <v>0.98082801024965582</v>
      </c>
      <c r="H88">
        <f t="shared" si="21"/>
        <v>1.131</v>
      </c>
      <c r="I88">
        <f t="shared" si="22"/>
        <v>1.49292</v>
      </c>
    </row>
    <row r="89" spans="1:9">
      <c r="A89" s="61">
        <f t="shared" si="24"/>
        <v>148.44089374594273</v>
      </c>
      <c r="B89" s="62">
        <f t="shared" si="23"/>
        <v>932208.81272452034</v>
      </c>
      <c r="C89" s="63">
        <f t="shared" si="16"/>
        <v>0.95145831658341951</v>
      </c>
      <c r="D89" s="63">
        <f t="shared" si="17"/>
        <v>0.96110337398319157</v>
      </c>
      <c r="E89" s="63">
        <f t="shared" si="18"/>
        <v>0.96881128225302449</v>
      </c>
      <c r="F89" s="63">
        <f t="shared" si="19"/>
        <v>0.9744318763119757</v>
      </c>
      <c r="G89" s="63">
        <f t="shared" si="20"/>
        <v>0.97785155447327587</v>
      </c>
      <c r="H89">
        <f t="shared" si="21"/>
        <v>1.131</v>
      </c>
      <c r="I89">
        <f t="shared" si="22"/>
        <v>1.49292</v>
      </c>
    </row>
    <row r="90" spans="1:9">
      <c r="A90" s="61">
        <f t="shared" si="24"/>
        <v>151.20061600467349</v>
      </c>
      <c r="B90" s="62">
        <f t="shared" si="23"/>
        <v>949539.86850934953</v>
      </c>
      <c r="C90" s="63">
        <f t="shared" si="16"/>
        <v>0.94654290136452324</v>
      </c>
      <c r="D90" s="63">
        <f t="shared" si="17"/>
        <v>0.95691684861211668</v>
      </c>
      <c r="E90" s="63">
        <f t="shared" si="18"/>
        <v>0.96522558037794903</v>
      </c>
      <c r="F90" s="63">
        <f t="shared" si="19"/>
        <v>0.97129467399476443</v>
      </c>
      <c r="G90" s="63">
        <f t="shared" si="20"/>
        <v>0.97499154653377129</v>
      </c>
      <c r="H90">
        <f t="shared" si="21"/>
        <v>1.131</v>
      </c>
      <c r="I90">
        <f t="shared" si="22"/>
        <v>1.49292</v>
      </c>
    </row>
    <row r="91" spans="1:9">
      <c r="A91" s="61">
        <f t="shared" si="24"/>
        <v>154.01164533083789</v>
      </c>
      <c r="B91" s="62">
        <f t="shared" si="23"/>
        <v>967193.13267766195</v>
      </c>
      <c r="C91" s="63">
        <f t="shared" si="16"/>
        <v>0.94166438237462224</v>
      </c>
      <c r="D91" s="63">
        <f t="shared" si="17"/>
        <v>0.95278990993811474</v>
      </c>
      <c r="E91" s="63">
        <f t="shared" si="18"/>
        <v>0.96172108076041884</v>
      </c>
      <c r="F91" s="63">
        <f t="shared" si="19"/>
        <v>0.96825648557891941</v>
      </c>
      <c r="G91" s="63">
        <f t="shared" si="20"/>
        <v>0.97224226591389273</v>
      </c>
      <c r="H91">
        <f t="shared" si="21"/>
        <v>1.131</v>
      </c>
      <c r="I91">
        <f t="shared" si="22"/>
        <v>1.49292</v>
      </c>
    </row>
    <row r="92" spans="1:9">
      <c r="A92" s="61">
        <f t="shared" si="24"/>
        <v>156.87493559403651</v>
      </c>
      <c r="B92" s="62">
        <f t="shared" si="23"/>
        <v>985174.5955305493</v>
      </c>
      <c r="C92" s="63">
        <f t="shared" si="16"/>
        <v>0.93681684770597495</v>
      </c>
      <c r="D92" s="63">
        <f t="shared" si="17"/>
        <v>0.94871643204179801</v>
      </c>
      <c r="E92" s="63">
        <f t="shared" si="18"/>
        <v>0.95829179201681314</v>
      </c>
      <c r="F92" s="63">
        <f t="shared" si="19"/>
        <v>0.96531161761121842</v>
      </c>
      <c r="G92" s="63">
        <f t="shared" si="20"/>
        <v>0.96959829212678417</v>
      </c>
      <c r="H92">
        <f t="shared" si="21"/>
        <v>1.131</v>
      </c>
      <c r="I92">
        <f t="shared" si="22"/>
        <v>1.49292</v>
      </c>
    </row>
    <row r="93" spans="1:9">
      <c r="A93" s="61">
        <f t="shared" si="24"/>
        <v>159.79145839762984</v>
      </c>
      <c r="B93" s="62">
        <f t="shared" si="23"/>
        <v>1003490.3587371154</v>
      </c>
      <c r="C93" s="63">
        <f t="shared" si="16"/>
        <v>0.93199462309318171</v>
      </c>
      <c r="D93" s="63">
        <f t="shared" si="17"/>
        <v>0.9446905225070592</v>
      </c>
      <c r="E93" s="63">
        <f t="shared" si="18"/>
        <v>0.95493196585221074</v>
      </c>
      <c r="F93" s="63">
        <f t="shared" si="19"/>
        <v>0.96245463856839564</v>
      </c>
      <c r="G93" s="63">
        <f t="shared" si="20"/>
        <v>0.96705448459352339</v>
      </c>
      <c r="H93">
        <f t="shared" si="21"/>
        <v>1.131</v>
      </c>
      <c r="I93">
        <f t="shared" si="22"/>
        <v>1.49292</v>
      </c>
    </row>
    <row r="94" spans="1:9">
      <c r="A94" s="61">
        <f t="shared" si="24"/>
        <v>162.76220340843344</v>
      </c>
      <c r="B94" s="62">
        <f t="shared" si="23"/>
        <v>1022146.637404962</v>
      </c>
      <c r="C94" s="63">
        <f t="shared" si="16"/>
        <v>0.92719226220499396</v>
      </c>
      <c r="D94" s="63">
        <f t="shared" si="17"/>
        <v>0.94070650878605655</v>
      </c>
      <c r="E94" s="63">
        <f t="shared" si="18"/>
        <v>0.95163608049796455</v>
      </c>
      <c r="F94" s="63">
        <f t="shared" si="19"/>
        <v>0.95968036076402774</v>
      </c>
      <c r="G94" s="63">
        <f t="shared" si="20"/>
        <v>0.96460596407050325</v>
      </c>
      <c r="H94">
        <f t="shared" si="21"/>
        <v>1.131</v>
      </c>
      <c r="I94">
        <f t="shared" si="22"/>
        <v>1.49292</v>
      </c>
    </row>
    <row r="95" spans="1:9">
      <c r="A95" s="61">
        <f t="shared" si="24"/>
        <v>165.78817869254271</v>
      </c>
      <c r="B95" s="62">
        <f t="shared" si="23"/>
        <v>1041149.7621891683</v>
      </c>
      <c r="C95" s="63">
        <f t="shared" si="16"/>
        <v>0.9224045379104221</v>
      </c>
      <c r="D95" s="63">
        <f t="shared" si="17"/>
        <v>0.93675892573523301</v>
      </c>
      <c r="E95" s="63">
        <f t="shared" si="18"/>
        <v>0.94839882541780374</v>
      </c>
      <c r="F95" s="63">
        <f t="shared" si="19"/>
        <v>0.95698382359783374</v>
      </c>
      <c r="G95" s="63">
        <f t="shared" si="20"/>
        <v>0.96224809548625001</v>
      </c>
      <c r="H95">
        <f t="shared" si="21"/>
        <v>1.131</v>
      </c>
      <c r="I95">
        <f t="shared" si="22"/>
        <v>1.49292</v>
      </c>
    </row>
    <row r="96" spans="1:9">
      <c r="A96" s="61">
        <f t="shared" si="24"/>
        <v>168.87041105740104</v>
      </c>
      <c r="B96" s="62">
        <f t="shared" si="23"/>
        <v>1060506.1814404787</v>
      </c>
      <c r="C96" s="63">
        <f t="shared" si="16"/>
        <v>0.91762643445371772</v>
      </c>
      <c r="D96" s="63">
        <f t="shared" si="17"/>
        <v>0.93284250424107029</v>
      </c>
      <c r="E96" s="63">
        <f t="shared" si="18"/>
        <v>0.9452150871820485</v>
      </c>
      <c r="F96" s="63">
        <f t="shared" si="19"/>
        <v>0.95436027803055234</v>
      </c>
      <c r="G96" s="63">
        <f t="shared" si="20"/>
        <v>0.95997647206156389</v>
      </c>
      <c r="H96">
        <f t="shared" si="21"/>
        <v>1.131</v>
      </c>
      <c r="I96">
        <f t="shared" si="22"/>
        <v>1.49292</v>
      </c>
    </row>
    <row r="97" spans="1:9">
      <c r="A97" s="61">
        <f t="shared" si="24"/>
        <v>172.00994640022742</v>
      </c>
      <c r="B97" s="62">
        <f t="shared" si="23"/>
        <v>1080222.4633934281</v>
      </c>
      <c r="C97" s="63">
        <f t="shared" si="16"/>
        <v>0.91285314047662625</v>
      </c>
      <c r="D97" s="63">
        <f t="shared" si="17"/>
        <v>0.9289521608616621</v>
      </c>
      <c r="E97" s="63">
        <f t="shared" si="18"/>
        <v>0.94207993641958609</v>
      </c>
      <c r="F97" s="63">
        <f t="shared" si="19"/>
        <v>0.95180517217926763</v>
      </c>
      <c r="G97" s="63">
        <f t="shared" si="20"/>
        <v>0.95778690059953508</v>
      </c>
      <c r="H97">
        <f t="shared" si="21"/>
        <v>1.131</v>
      </c>
      <c r="I97">
        <f t="shared" si="22"/>
        <v>1.49292</v>
      </c>
    </row>
    <row r="98" spans="1:9">
      <c r="A98" s="61">
        <f t="shared" si="24"/>
        <v>175.20785006292189</v>
      </c>
      <c r="B98" s="62">
        <f t="shared" si="23"/>
        <v>1100305.2983951494</v>
      </c>
      <c r="C98" s="63">
        <f t="shared" si="16"/>
        <v>0.90808004282972132</v>
      </c>
      <c r="D98" s="63">
        <f t="shared" si="17"/>
        <v>0.925082988416843</v>
      </c>
      <c r="E98" s="63">
        <f t="shared" si="18"/>
        <v>0.93898861576630321</v>
      </c>
      <c r="F98" s="63">
        <f t="shared" si="19"/>
        <v>0.9493141379385166</v>
      </c>
      <c r="G98" s="63">
        <f t="shared" si="20"/>
        <v>0.95567538784327488</v>
      </c>
      <c r="H98">
        <f t="shared" si="21"/>
        <v>1.131</v>
      </c>
      <c r="I98">
        <f t="shared" si="22"/>
        <v>1.49292</v>
      </c>
    </row>
    <row r="99" spans="1:9">
      <c r="A99" s="61">
        <f t="shared" si="24"/>
        <v>178.4652071935692</v>
      </c>
      <c r="B99" s="62">
        <f t="shared" si="23"/>
        <v>1120761.5011756145</v>
      </c>
      <c r="C99" s="63">
        <f t="shared" si="16"/>
        <v>0.90330272111758625</v>
      </c>
      <c r="D99" s="63">
        <f t="shared" si="17"/>
        <v>0.92123024746545545</v>
      </c>
      <c r="E99" s="63">
        <f t="shared" si="18"/>
        <v>0.9359365287367255</v>
      </c>
      <c r="F99" s="63">
        <f t="shared" si="19"/>
        <v>0.94688297854181913</v>
      </c>
      <c r="G99" s="63">
        <f t="shared" si="20"/>
        <v>0.95363812780918822</v>
      </c>
      <c r="H99">
        <f t="shared" si="21"/>
        <v>1.131</v>
      </c>
      <c r="I99">
        <f t="shared" si="22"/>
        <v>1.49292</v>
      </c>
    </row>
    <row r="100" spans="1:9">
      <c r="A100" s="61">
        <f t="shared" si="24"/>
        <v>181.78312311466323</v>
      </c>
      <c r="B100" s="62">
        <f t="shared" si="23"/>
        <v>1141598.0131600851</v>
      </c>
      <c r="C100" s="63">
        <f t="shared" si="16"/>
        <v>0.89851694292524809</v>
      </c>
      <c r="D100" s="63">
        <f t="shared" si="17"/>
        <v>0.91738935861362036</v>
      </c>
      <c r="E100" s="63">
        <f t="shared" si="18"/>
        <v>0.93291922945289929</v>
      </c>
      <c r="F100" s="63">
        <f t="shared" si="19"/>
        <v>0.94450765698662742</v>
      </c>
      <c r="G100" s="63">
        <f t="shared" si="20"/>
        <v>0.95167149001257312</v>
      </c>
      <c r="H100">
        <f t="shared" si="21"/>
        <v>1.131</v>
      </c>
      <c r="I100">
        <f t="shared" si="22"/>
        <v>1.49292</v>
      </c>
    </row>
    <row r="101" spans="1:9">
      <c r="A101" s="61">
        <f t="shared" si="24"/>
        <v>185.16272369817725</v>
      </c>
      <c r="B101" s="62">
        <f t="shared" si="23"/>
        <v>1162821.9048245531</v>
      </c>
      <c r="C101" s="63">
        <f t="shared" si="16"/>
        <v>0.89371865967551323</v>
      </c>
      <c r="D101" s="63">
        <f t="shared" si="17"/>
        <v>0.91355589560250527</v>
      </c>
      <c r="E101" s="63">
        <f t="shared" si="18"/>
        <v>0.92993241317105402</v>
      </c>
      <c r="F101" s="63">
        <f t="shared" si="19"/>
        <v>0.94218428525316822</v>
      </c>
      <c r="G101" s="63">
        <f t="shared" si="20"/>
        <v>0.94977200851028565</v>
      </c>
      <c r="H101">
        <f t="shared" si="21"/>
        <v>1.131</v>
      </c>
      <c r="I101">
        <f t="shared" si="22"/>
        <v>1.49292</v>
      </c>
    </row>
    <row r="102" spans="1:9">
      <c r="A102" s="61">
        <f t="shared" si="24"/>
        <v>188.60515574760728</v>
      </c>
      <c r="B102" s="62">
        <f t="shared" si="23"/>
        <v>1184440.3780949737</v>
      </c>
      <c r="C102" s="63">
        <f t="shared" si="16"/>
        <v>0.88890400306882367</v>
      </c>
      <c r="D102" s="63">
        <f t="shared" si="17"/>
        <v>0.90972557912819807</v>
      </c>
      <c r="E102" s="63">
        <f t="shared" si="18"/>
        <v>0.92697190755243875</v>
      </c>
      <c r="F102" s="63">
        <f t="shared" si="19"/>
        <v>0.93990911425434953</v>
      </c>
      <c r="G102" s="63">
        <f t="shared" si="20"/>
        <v>0.94793637169233269</v>
      </c>
      <c r="H102">
        <f t="shared" si="21"/>
        <v>1.131</v>
      </c>
      <c r="I102">
        <f t="shared" si="22"/>
        <v>1.49292</v>
      </c>
    </row>
    <row r="103" spans="1:9">
      <c r="A103" s="61">
        <f t="shared" si="24"/>
        <v>192.11158738711819</v>
      </c>
      <c r="B103" s="62">
        <f t="shared" si="23"/>
        <v>1206460.7687911023</v>
      </c>
      <c r="C103" s="63">
        <f t="shared" si="16"/>
        <v>0.88406928205893298</v>
      </c>
      <c r="D103" s="63">
        <f t="shared" si="17"/>
        <v>0.90589427134991696</v>
      </c>
      <c r="E103" s="63">
        <f t="shared" si="18"/>
        <v>0.92403366462999514</v>
      </c>
      <c r="F103" s="63">
        <f t="shared" si="19"/>
        <v>0.9376785244599426</v>
      </c>
      <c r="G103" s="63">
        <f t="shared" si="20"/>
        <v>0.94616141276063548</v>
      </c>
      <c r="H103">
        <f t="shared" si="21"/>
        <v>1.131</v>
      </c>
      <c r="I103">
        <f t="shared" si="22"/>
        <v>1.49292</v>
      </c>
    </row>
    <row r="104" spans="1:9">
      <c r="A104" s="61">
        <f t="shared" si="24"/>
        <v>195.68320845792448</v>
      </c>
      <c r="B104" s="62">
        <f t="shared" si="23"/>
        <v>1228890.5491157658</v>
      </c>
      <c r="C104" s="63">
        <f t="shared" ref="C104:C110" si="25">(B104/wo)^2*(Ma-1)*IF(answer,MC,1)/SQRT((1-B104^2/wp^2)^2+(B104/wo)^2*(1-B104^2/wo^2)^2*((Ma-1)*Q.e)^2)</f>
        <v>0.87921098031912559</v>
      </c>
      <c r="D104" s="63">
        <f t="shared" ref="D104:D110" si="26">(B104/wo)^2*(Ma-1)*IF(answer,MC,1)/SQRT((1-B104^2/wp^2)^2+(B104/wo)^2*(1-B104^2/wo^2)^2*((Ma-1)*Q.e*0.8)^2)</f>
        <v>0.90205797104594843</v>
      </c>
      <c r="E104" s="63">
        <f t="shared" ref="E104:E110" si="27">(B104/wo)^2*(Ma-1)*IF(answer,MC,1)/SQRT((1-B104^2/wp^2)^2+(B104/wo)^2*(1-B104^2/wo^2)^2*((Ma-1)*Q.e*0.6)^2)</f>
        <v>0.92111375342725343</v>
      </c>
      <c r="F104" s="63">
        <f t="shared" ref="F104:F110" si="28">(B104/wo)^2*(Ma-1)*IF(answer,MC,1)/SQRT((1-B104^2/wp^2)^2+(B104/wo)^2*(1-B104^2/wo^2)^2*((Ma-1)*Q.e*0.4)^2)</f>
        <v>0.93548901714367172</v>
      </c>
      <c r="G104" s="63">
        <f t="shared" ref="G104:G110" si="29">(B104/wo)^2*(Ma-1)*IF(answer,MC,1)/SQRT((1-B104^2/wp^2)^2+(B104/wo)^2*(1-B104^2/wo^2)^2*((Ma-1)*Q.e*0.2)^2)</f>
        <v>0.94444410083890518</v>
      </c>
      <c r="H104">
        <f t="shared" ref="H104:H125" si="30">M_min</f>
        <v>1.131</v>
      </c>
      <c r="I104">
        <f t="shared" ref="I104:I125" si="31">Max_Gain_required</f>
        <v>1.49292</v>
      </c>
    </row>
    <row r="105" spans="1:9">
      <c r="A105" s="61">
        <f t="shared" si="24"/>
        <v>199.3212309220404</v>
      </c>
      <c r="B105" s="62">
        <f t="shared" si="23"/>
        <v>1251737.3301904136</v>
      </c>
      <c r="C105" s="63">
        <f t="shared" si="25"/>
        <v>0.87432575415493474</v>
      </c>
      <c r="D105" s="63">
        <f t="shared" si="26"/>
        <v>0.8982128093794689</v>
      </c>
      <c r="E105" s="63">
        <f t="shared" si="27"/>
        <v>0.91820835319010674</v>
      </c>
      <c r="F105" s="63">
        <f t="shared" si="28"/>
        <v>0.93333720620674721</v>
      </c>
      <c r="G105" s="63">
        <f t="shared" si="29"/>
        <v>0.94278153266272158</v>
      </c>
      <c r="H105">
        <f t="shared" si="30"/>
        <v>1.131</v>
      </c>
      <c r="I105">
        <f t="shared" si="31"/>
        <v>1.49292</v>
      </c>
    </row>
    <row r="106" spans="1:9">
      <c r="A106" s="61">
        <f t="shared" si="24"/>
        <v>203.02688927353628</v>
      </c>
      <c r="B106" s="62">
        <f t="shared" si="23"/>
        <v>1275008.8646378079</v>
      </c>
      <c r="C106" s="63">
        <f t="shared" si="25"/>
        <v>0.86941043082032743</v>
      </c>
      <c r="D106" s="63">
        <f t="shared" si="26"/>
        <v>0.89435504623876672</v>
      </c>
      <c r="E106" s="63">
        <f t="shared" si="27"/>
        <v>0.91531374719591008</v>
      </c>
      <c r="F106" s="63">
        <f t="shared" si="28"/>
        <v>0.93121981053577707</v>
      </c>
      <c r="G106" s="63">
        <f t="shared" si="29"/>
        <v>0.9411709248034732</v>
      </c>
      <c r="H106">
        <f t="shared" si="30"/>
        <v>1.131</v>
      </c>
      <c r="I106">
        <f t="shared" si="31"/>
        <v>1.49292</v>
      </c>
    </row>
    <row r="107" spans="1:9">
      <c r="A107" s="61">
        <f t="shared" si="24"/>
        <v>206.8014409574408</v>
      </c>
      <c r="B107" s="62">
        <f t="shared" si="23"/>
        <v>1298713.0492127282</v>
      </c>
      <c r="C107" s="63">
        <f t="shared" si="25"/>
        <v>0.86446200719522803</v>
      </c>
      <c r="D107" s="63">
        <f t="shared" si="26"/>
        <v>0.89048106711843733</v>
      </c>
      <c r="E107" s="63">
        <f t="shared" si="27"/>
        <v>0.91242631710782685</v>
      </c>
      <c r="F107" s="63">
        <f t="shared" si="28"/>
        <v>0.92913364685702116</v>
      </c>
      <c r="G107" s="63">
        <f t="shared" si="29"/>
        <v>0.93960960638401181</v>
      </c>
      <c r="H107">
        <f t="shared" si="30"/>
        <v>1.131</v>
      </c>
      <c r="I107">
        <f t="shared" si="31"/>
        <v>1.49292</v>
      </c>
    </row>
    <row r="108" spans="1:9">
      <c r="A108" s="61">
        <f t="shared" si="24"/>
        <v>210.64616679643112</v>
      </c>
      <c r="B108" s="62">
        <f t="shared" si="23"/>
        <v>1322857.9274815875</v>
      </c>
      <c r="C108" s="63">
        <f t="shared" si="25"/>
        <v>0.85947764878298083</v>
      </c>
      <c r="D108" s="63">
        <f t="shared" si="26"/>
        <v>0.88658738050981567</v>
      </c>
      <c r="E108" s="63">
        <f t="shared" si="27"/>
        <v>0.90954253784537642</v>
      </c>
      <c r="F108" s="63">
        <f t="shared" si="28"/>
        <v>0.92707562305254854</v>
      </c>
      <c r="G108" s="63">
        <f t="shared" si="29"/>
        <v>0.93809501224756464</v>
      </c>
      <c r="H108">
        <f t="shared" si="30"/>
        <v>1.131</v>
      </c>
      <c r="I108">
        <f t="shared" si="31"/>
        <v>1.49292</v>
      </c>
    </row>
    <row r="109" spans="1:9">
      <c r="A109" s="61">
        <f t="shared" si="24"/>
        <v>214.56237142545581</v>
      </c>
      <c r="B109" s="62">
        <f t="shared" si="23"/>
        <v>1347451.6925518624</v>
      </c>
      <c r="C109" s="63">
        <f t="shared" si="25"/>
        <v>0.85445468898701904</v>
      </c>
      <c r="D109" s="63">
        <f t="shared" si="26"/>
        <v>0.882670615770346</v>
      </c>
      <c r="E109" s="63">
        <f t="shared" si="27"/>
        <v>0.9066589729449186</v>
      </c>
      <c r="F109" s="63">
        <f t="shared" si="28"/>
        <v>0.9250427319071558</v>
      </c>
      <c r="G109" s="63">
        <f t="shared" si="29"/>
        <v>0.93662467654484027</v>
      </c>
      <c r="H109">
        <f t="shared" si="30"/>
        <v>1.131</v>
      </c>
      <c r="I109">
        <f t="shared" si="31"/>
        <v>1.49292</v>
      </c>
    </row>
    <row r="110" spans="1:9">
      <c r="A110" s="61">
        <f t="shared" si="24"/>
        <v>218.55138373443802</v>
      </c>
      <c r="B110" s="62">
        <f t="shared" si="23"/>
        <v>1372502.6898522708</v>
      </c>
      <c r="C110" s="63">
        <f t="shared" si="25"/>
        <v>0.84939062862659631</v>
      </c>
      <c r="D110" s="63">
        <f t="shared" si="26"/>
        <v>0.87872752144274291</v>
      </c>
      <c r="E110" s="63">
        <f t="shared" si="27"/>
        <v>0.90377227038624908</v>
      </c>
      <c r="F110" s="63">
        <f t="shared" si="28"/>
        <v>0.92303204525789528</v>
      </c>
      <c r="G110" s="63">
        <f t="shared" si="29"/>
        <v>0.93519622670730185</v>
      </c>
      <c r="H110">
        <f t="shared" si="30"/>
        <v>1.131</v>
      </c>
      <c r="I110">
        <f t="shared" si="31"/>
        <v>1.49292</v>
      </c>
    </row>
    <row r="111" spans="1:9">
      <c r="A111" s="61">
        <f t="shared" si="24"/>
        <v>222.61455731920915</v>
      </c>
      <c r="B111" s="62">
        <f t="shared" ref="B111:B125" si="32">2000*3.14*A111</f>
        <v>1398019.4199646334</v>
      </c>
      <c r="C111" s="63">
        <f t="shared" ref="C111:C125" si="33">(B111/wo)^2*(Ma-1)*IF(answer,MC,1)/SQRT((1-B111^2/wp^2)^2+(B111/wo)^2*(1-B111^2/wo^2)^2*((Ma-1)*Q.e)^2)</f>
        <v>0.8442831356519801</v>
      </c>
      <c r="D111" s="63">
        <f t="shared" ref="D111:D125" si="34">(B111/wo)^2*(Ma-1)*IF(answer,MC,1)/SQRT((1-B111^2/wp^2)^2+(B111/wo)^2*(1-B111^2/wo^2)^2*((Ma-1)*Q.e*0.8)^2)</f>
        <v>0.87475496399571506</v>
      </c>
      <c r="E111" s="63">
        <f t="shared" ref="E111:E125" si="35">(B111/wo)^2*(Ma-1)*IF(answer,MC,1)/SQRT((1-B111^2/wp^2)^2+(B111/wo)^2*(1-B111^2/wo^2)^2*((Ma-1)*Q.e*0.6)^2)</f>
        <v>0.90087915886367165</v>
      </c>
      <c r="F111" s="63">
        <f t="shared" ref="F111:F125" si="36">(B111/wo)^2*(Ma-1)*IF(answer,MC,1)/SQRT((1-B111^2/wp^2)^2+(B111/wo)^2*(1-B111^2/wo^2)^2*((Ma-1)*Q.e*0.4)^2)</f>
        <v>0.9210407085207748</v>
      </c>
      <c r="G111" s="63">
        <f t="shared" ref="G111:G125" si="37">(B111/wo)^2*(Ma-1)*IF(answer,MC,1)/SQRT((1-B111^2/wp^2)^2+(B111/wo)^2*(1-B111^2/wo^2)^2*((Ma-1)*Q.e*0.2)^2)</f>
        <v>0.93380737777732925</v>
      </c>
      <c r="H111">
        <f t="shared" si="30"/>
        <v>1.131</v>
      </c>
      <c r="I111">
        <f t="shared" si="31"/>
        <v>1.49292</v>
      </c>
    </row>
    <row r="112" spans="1:9">
      <c r="A112" s="61">
        <f t="shared" si="24"/>
        <v>226.75327094082601</v>
      </c>
      <c r="B112" s="62">
        <f t="shared" si="32"/>
        <v>1424010.5415083873</v>
      </c>
      <c r="C112" s="63">
        <f t="shared" si="33"/>
        <v>0.83913004502004784</v>
      </c>
      <c r="D112" s="63">
        <f t="shared" si="34"/>
        <v>0.87074992695871767</v>
      </c>
      <c r="E112" s="63">
        <f t="shared" si="35"/>
        <v>0.89797644448183644</v>
      </c>
      <c r="F112" s="63">
        <f t="shared" si="36"/>
        <v>0.91906593557167471</v>
      </c>
      <c r="G112" s="63">
        <f t="shared" si="37"/>
        <v>0.93245592706849201</v>
      </c>
      <c r="H112">
        <f t="shared" si="30"/>
        <v>1.131</v>
      </c>
      <c r="I112">
        <f t="shared" si="31"/>
        <v>1.49292</v>
      </c>
    </row>
    <row r="113" spans="1:9">
      <c r="A113" s="61">
        <f t="shared" si="24"/>
        <v>230.9689289934272</v>
      </c>
      <c r="B113" s="62">
        <f t="shared" si="32"/>
        <v>1450484.8740787229</v>
      </c>
      <c r="C113" s="63">
        <f t="shared" si="33"/>
        <v>0.83392935869176943</v>
      </c>
      <c r="D113" s="63">
        <f t="shared" si="34"/>
        <v>0.86670951042369793</v>
      </c>
      <c r="E113" s="63">
        <f t="shared" si="35"/>
        <v>0.89506100785833198</v>
      </c>
      <c r="F113" s="63">
        <f t="shared" si="36"/>
        <v>0.91710500396078753</v>
      </c>
      <c r="G113" s="63">
        <f t="shared" si="37"/>
        <v>0.93113974913140796</v>
      </c>
      <c r="H113">
        <f t="shared" si="30"/>
        <v>1.131</v>
      </c>
      <c r="I113">
        <f t="shared" si="31"/>
        <v>1.49292</v>
      </c>
    </row>
    <row r="114" spans="1:9">
      <c r="A114" s="61">
        <f t="shared" si="24"/>
        <v>235.26296198078776</v>
      </c>
      <c r="B114" s="62">
        <f t="shared" si="32"/>
        <v>1477451.4012393472</v>
      </c>
      <c r="C114" s="63">
        <f t="shared" si="33"/>
        <v>0.82867924571365459</v>
      </c>
      <c r="D114" s="63">
        <f t="shared" si="34"/>
        <v>0.86263093088711618</v>
      </c>
      <c r="E114" s="63">
        <f t="shared" si="35"/>
        <v>0.89212980161649535</v>
      </c>
      <c r="F114" s="63">
        <f t="shared" si="36"/>
        <v>0.91515525044195745</v>
      </c>
      <c r="G114" s="63">
        <f t="shared" si="37"/>
        <v>0.92985679100271323</v>
      </c>
      <c r="H114">
        <f t="shared" si="30"/>
        <v>1.131</v>
      </c>
      <c r="I114">
        <f t="shared" si="31"/>
        <v>1.49292</v>
      </c>
    </row>
    <row r="115" spans="1:9">
      <c r="A115" s="61">
        <f t="shared" si="24"/>
        <v>239.63682700173354</v>
      </c>
      <c r="B115" s="62">
        <f t="shared" si="32"/>
        <v>1504919.2735708866</v>
      </c>
      <c r="C115" s="63">
        <f t="shared" si="33"/>
        <v>0.82337804234589085</v>
      </c>
      <c r="D115" s="63">
        <f t="shared" si="34"/>
        <v>0.85851152140569964</v>
      </c>
      <c r="E115" s="63">
        <f t="shared" si="35"/>
        <v>0.88917984825318686</v>
      </c>
      <c r="F115" s="63">
        <f t="shared" si="36"/>
        <v>0.91321406680019024</v>
      </c>
      <c r="G115" s="63">
        <f t="shared" si="37"/>
        <v>0.92860506771654761</v>
      </c>
      <c r="H115">
        <f t="shared" si="30"/>
        <v>1.131</v>
      </c>
      <c r="I115">
        <f t="shared" si="31"/>
        <v>1.49292</v>
      </c>
    </row>
    <row r="116" spans="1:9">
      <c r="A116" s="61">
        <f t="shared" si="24"/>
        <v>244.09200824458003</v>
      </c>
      <c r="B116" s="62">
        <f t="shared" si="32"/>
        <v>1532897.8117759626</v>
      </c>
      <c r="C116" s="63">
        <f t="shared" si="33"/>
        <v>0.81802425220063557</v>
      </c>
      <c r="D116" s="63">
        <f t="shared" si="34"/>
        <v>0.85434873203939821</v>
      </c>
      <c r="E116" s="63">
        <f t="shared" si="35"/>
        <v>0.88620823836734375</v>
      </c>
      <c r="F116" s="63">
        <f t="shared" si="36"/>
        <v>0.91127889596233502</v>
      </c>
      <c r="G116" s="63">
        <f t="shared" si="37"/>
        <v>0.9273826580596366</v>
      </c>
      <c r="H116">
        <f t="shared" si="30"/>
        <v>1.131</v>
      </c>
      <c r="I116">
        <f t="shared" si="31"/>
        <v>1.49292</v>
      </c>
    </row>
    <row r="117" spans="1:9">
      <c r="A117" s="61">
        <f t="shared" si="24"/>
        <v>248.63001749076372</v>
      </c>
      <c r="B117" s="62">
        <f t="shared" si="32"/>
        <v>1561396.5098419962</v>
      </c>
      <c r="C117" s="63">
        <f t="shared" si="33"/>
        <v>0.8126165463547671</v>
      </c>
      <c r="D117" s="63">
        <f t="shared" si="34"/>
        <v>0.85014013055494242</v>
      </c>
      <c r="E117" s="63">
        <f t="shared" si="35"/>
        <v>0.88321212923604842</v>
      </c>
      <c r="F117" s="63">
        <f t="shared" si="36"/>
        <v>0.90934722837753801</v>
      </c>
      <c r="G117" s="63">
        <f t="shared" si="37"/>
        <v>0.92618770055261934</v>
      </c>
      <c r="H117">
        <f t="shared" si="30"/>
        <v>1.131</v>
      </c>
      <c r="I117">
        <f t="shared" si="31"/>
        <v>1.49292</v>
      </c>
    </row>
    <row r="118" spans="1:9">
      <c r="A118" s="61">
        <f t="shared" si="24"/>
        <v>253.25239462783637</v>
      </c>
      <c r="B118" s="62">
        <f t="shared" si="32"/>
        <v>1590425.0382628124</v>
      </c>
      <c r="C118" s="63">
        <f t="shared" si="33"/>
        <v>0.80715376340237066</v>
      </c>
      <c r="D118" s="63">
        <f t="shared" si="34"/>
        <v>0.8458834033632131</v>
      </c>
      <c r="E118" s="63">
        <f t="shared" si="35"/>
        <v>0.88018874372556954</v>
      </c>
      <c r="F118" s="63">
        <f t="shared" si="36"/>
        <v>0.90741659865552016</v>
      </c>
      <c r="G118" s="63">
        <f t="shared" si="37"/>
        <v>0.92501838964167193</v>
      </c>
      <c r="H118">
        <f t="shared" si="30"/>
        <v>1.131</v>
      </c>
      <c r="I118">
        <f t="shared" si="31"/>
        <v>1.49292</v>
      </c>
    </row>
    <row r="119" spans="1:9">
      <c r="A119" s="61">
        <f t="shared" si="24"/>
        <v>257.96070817199683</v>
      </c>
      <c r="B119" s="62">
        <f t="shared" si="32"/>
        <v>1619993.24732014</v>
      </c>
      <c r="C119" s="63">
        <f t="shared" si="33"/>
        <v>0.80163490941333482</v>
      </c>
      <c r="D119" s="63">
        <f t="shared" si="34"/>
        <v>0.84157635666337505</v>
      </c>
      <c r="E119" s="63">
        <f t="shared" si="35"/>
        <v>0.87713536952540638</v>
      </c>
      <c r="F119" s="63">
        <f t="shared" si="36"/>
        <v>0.90548458245207919</v>
      </c>
      <c r="G119" s="63">
        <f t="shared" si="37"/>
        <v>0.92387297208577179</v>
      </c>
      <c r="H119">
        <f t="shared" si="30"/>
        <v>1.131</v>
      </c>
      <c r="I119">
        <f t="shared" si="31"/>
        <v>1.49292</v>
      </c>
    </row>
    <row r="120" spans="1:9">
      <c r="A120" s="61">
        <f t="shared" si="24"/>
        <v>262.7565558003372</v>
      </c>
      <c r="B120" s="62">
        <f t="shared" si="32"/>
        <v>1650111.1704261175</v>
      </c>
      <c r="C120" s="63">
        <f t="shared" si="33"/>
        <v>0.79605915776570602</v>
      </c>
      <c r="D120" s="63">
        <f t="shared" si="34"/>
        <v>0.83721691776642659</v>
      </c>
      <c r="E120" s="63">
        <f t="shared" si="35"/>
        <v>0.8740493586937873</v>
      </c>
      <c r="F120" s="63">
        <f t="shared" si="36"/>
        <v>0.90354879359243956</v>
      </c>
      <c r="G120" s="63">
        <f t="shared" si="37"/>
        <v>0.92274974352613048</v>
      </c>
      <c r="H120">
        <f t="shared" si="30"/>
        <v>1.131</v>
      </c>
      <c r="I120">
        <f t="shared" si="31"/>
        <v>1.49292</v>
      </c>
    </row>
    <row r="121" spans="1:9">
      <c r="A121" s="61">
        <f t="shared" si="24"/>
        <v>267.64156489298449</v>
      </c>
      <c r="B121" s="62">
        <f t="shared" si="32"/>
        <v>1680789.0275279426</v>
      </c>
      <c r="C121" s="63">
        <f t="shared" si="33"/>
        <v>0.79042584882087152</v>
      </c>
      <c r="D121" s="63">
        <f t="shared" si="34"/>
        <v>0.83280313657047134</v>
      </c>
      <c r="E121" s="63">
        <f t="shared" si="35"/>
        <v>0.87092812750334991</v>
      </c>
      <c r="F121" s="63">
        <f t="shared" si="36"/>
        <v>0.90160688142421275</v>
      </c>
      <c r="G121" s="63">
        <f t="shared" si="37"/>
        <v>0.92164704522540863</v>
      </c>
      <c r="H121">
        <f t="shared" si="30"/>
        <v>1.131</v>
      </c>
      <c r="I121">
        <f t="shared" si="31"/>
        <v>1.49292</v>
      </c>
    </row>
    <row r="122" spans="1:9">
      <c r="A122" s="61">
        <f t="shared" si="24"/>
        <v>272.61739308532105</v>
      </c>
      <c r="B122" s="62">
        <f t="shared" si="32"/>
        <v>1712037.2285758161</v>
      </c>
      <c r="C122" s="63">
        <f t="shared" si="33"/>
        <v>0.78473448941224799</v>
      </c>
      <c r="D122" s="63">
        <f t="shared" si="34"/>
        <v>0.82833318715966253</v>
      </c>
      <c r="E122" s="63">
        <f t="shared" si="35"/>
        <v>0.86776915657585485</v>
      </c>
      <c r="F122" s="63">
        <f t="shared" si="36"/>
        <v>0.89965652839275612</v>
      </c>
      <c r="G122" s="63">
        <f t="shared" si="37"/>
        <v>0.92056326096531771</v>
      </c>
      <c r="H122">
        <f t="shared" si="30"/>
        <v>1.131</v>
      </c>
      <c r="I122">
        <f t="shared" si="31"/>
        <v>1.49292</v>
      </c>
    </row>
    <row r="123" spans="1:9">
      <c r="A123" s="61">
        <f t="shared" si="24"/>
        <v>277.68572883047199</v>
      </c>
      <c r="B123" s="62">
        <f t="shared" si="32"/>
        <v>1743866.3770553642</v>
      </c>
      <c r="C123" s="63">
        <f t="shared" si="33"/>
        <v>0.77898475211993023</v>
      </c>
      <c r="D123" s="63">
        <f t="shared" si="34"/>
        <v>0.82380536949843486</v>
      </c>
      <c r="E123" s="63">
        <f t="shared" si="35"/>
        <v>0.86456999129479939</v>
      </c>
      <c r="F123" s="63">
        <f t="shared" si="36"/>
        <v>0.89769544783267363</v>
      </c>
      <c r="G123" s="63">
        <f t="shared" si="37"/>
        <v>0.91949681409213513</v>
      </c>
      <c r="H123">
        <f t="shared" si="30"/>
        <v>1.131</v>
      </c>
      <c r="I123">
        <f t="shared" si="31"/>
        <v>1.49292</v>
      </c>
    </row>
    <row r="124" spans="1:9">
      <c r="A124" s="61">
        <f t="shared" si="24"/>
        <v>282.84829197224957</v>
      </c>
      <c r="B124" s="62">
        <f t="shared" si="32"/>
        <v>1776287.2735857272</v>
      </c>
      <c r="C124" s="63">
        <f t="shared" si="33"/>
        <v>0.77317647430572467</v>
      </c>
      <c r="D124" s="63">
        <f t="shared" si="34"/>
        <v>0.81921811119231802</v>
      </c>
      <c r="E124" s="63">
        <f t="shared" si="35"/>
        <v>0.86132824248466411</v>
      </c>
      <c r="F124" s="63">
        <f t="shared" si="36"/>
        <v>0.89572138197006501</v>
      </c>
      <c r="G124" s="63">
        <f t="shared" si="37"/>
        <v>0.91844616470049645</v>
      </c>
      <c r="H124">
        <f t="shared" si="30"/>
        <v>1.131</v>
      </c>
      <c r="I124">
        <f t="shared" si="31"/>
        <v>1.49292</v>
      </c>
    </row>
    <row r="125" spans="1:9">
      <c r="A125" s="61">
        <f t="shared" si="24"/>
        <v>288.10683432874981</v>
      </c>
      <c r="B125" s="62">
        <f t="shared" si="32"/>
        <v>1809310.9195845488</v>
      </c>
      <c r="C125" s="63">
        <f t="shared" si="33"/>
        <v>0.76730965688513053</v>
      </c>
      <c r="D125" s="63">
        <f t="shared" si="34"/>
        <v>0.81456996928637448</v>
      </c>
      <c r="E125" s="63">
        <f t="shared" si="35"/>
        <v>0.85804158734530056</v>
      </c>
      <c r="F125" s="63">
        <f t="shared" si="36"/>
        <v>0.89373210013092041</v>
      </c>
      <c r="G125" s="63">
        <f t="shared" si="37"/>
        <v>0.91740980694661578</v>
      </c>
      <c r="H125">
        <f t="shared" si="30"/>
        <v>1.131</v>
      </c>
      <c r="I125">
        <f t="shared" si="31"/>
        <v>1.49292</v>
      </c>
    </row>
  </sheetData>
  <mergeCells count="1">
    <mergeCell ref="O15:P15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M29" sqref="M29"/>
    </sheetView>
  </sheetViews>
  <sheetFormatPr defaultRowHeight="15"/>
  <cols>
    <col min="1" max="1" width="16.7109375" customWidth="1"/>
  </cols>
  <sheetData>
    <row r="1" spans="1:7">
      <c r="A1" s="73" t="s">
        <v>185</v>
      </c>
    </row>
    <row r="2" spans="1:7">
      <c r="B2" t="s">
        <v>180</v>
      </c>
      <c r="C2">
        <v>0.61040000000000005</v>
      </c>
      <c r="D2">
        <v>-0.89710000000000001</v>
      </c>
      <c r="E2">
        <v>-0.12230000000000001</v>
      </c>
      <c r="F2">
        <v>-1.47E-2</v>
      </c>
      <c r="G2">
        <v>1</v>
      </c>
    </row>
    <row r="3" spans="1:7">
      <c r="A3" t="s">
        <v>177</v>
      </c>
      <c r="B3" t="s">
        <v>178</v>
      </c>
      <c r="C3" t="s">
        <v>179</v>
      </c>
    </row>
    <row r="4" spans="1:7">
      <c r="A4">
        <v>0</v>
      </c>
      <c r="B4">
        <v>1</v>
      </c>
      <c r="C4">
        <f t="shared" ref="C4:C12" si="0">coef4*A4^4+coef3*A4^3+coef2*A4^2+coef1*A4+coef0</f>
        <v>1</v>
      </c>
    </row>
    <row r="5" spans="1:7">
      <c r="A5">
        <v>0.1</v>
      </c>
      <c r="B5">
        <v>0.997</v>
      </c>
      <c r="C5">
        <f t="shared" si="0"/>
        <v>0.99647094000000003</v>
      </c>
    </row>
    <row r="6" spans="1:7">
      <c r="A6">
        <v>0.2</v>
      </c>
      <c r="B6">
        <v>0.98499999999999999</v>
      </c>
      <c r="C6">
        <f t="shared" si="0"/>
        <v>0.98596784000000004</v>
      </c>
    </row>
    <row r="7" spans="1:7">
      <c r="A7">
        <v>0.3</v>
      </c>
      <c r="B7">
        <v>0.96499999999999997</v>
      </c>
      <c r="C7">
        <f t="shared" si="0"/>
        <v>0.96530554000000002</v>
      </c>
    </row>
    <row r="8" spans="1:7">
      <c r="A8">
        <v>0.4</v>
      </c>
      <c r="B8">
        <v>0.93500000000000005</v>
      </c>
      <c r="C8">
        <f t="shared" si="0"/>
        <v>0.93276384000000001</v>
      </c>
    </row>
    <row r="9" spans="1:7">
      <c r="A9">
        <v>0.5</v>
      </c>
      <c r="B9">
        <v>0.88749999999999996</v>
      </c>
      <c r="C9">
        <f t="shared" si="0"/>
        <v>0.88808750000000003</v>
      </c>
    </row>
    <row r="10" spans="1:7">
      <c r="A10">
        <v>0.6</v>
      </c>
      <c r="B10">
        <v>0.83</v>
      </c>
      <c r="C10">
        <f t="shared" si="0"/>
        <v>0.83248624000000004</v>
      </c>
    </row>
    <row r="11" spans="1:7">
      <c r="A11">
        <v>0.7</v>
      </c>
      <c r="B11">
        <v>0.77100000000000002</v>
      </c>
      <c r="C11">
        <f t="shared" si="0"/>
        <v>0.76863474000000009</v>
      </c>
    </row>
    <row r="12" spans="1:7">
      <c r="A12">
        <v>0.8</v>
      </c>
      <c r="B12">
        <v>0.7</v>
      </c>
      <c r="C12">
        <f t="shared" si="0"/>
        <v>0.70067264000000007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31" sqref="A31"/>
    </sheetView>
  </sheetViews>
  <sheetFormatPr defaultRowHeight="15"/>
  <cols>
    <col min="2" max="2" width="12" bestFit="1" customWidth="1"/>
  </cols>
  <sheetData>
    <row r="1" spans="1:9">
      <c r="A1" t="s">
        <v>203</v>
      </c>
      <c r="B1" t="s">
        <v>204</v>
      </c>
    </row>
    <row r="2" spans="1:9">
      <c r="A2" t="s">
        <v>205</v>
      </c>
      <c r="B2">
        <f>RCS/(nct*RICS*k*CICS*n)</f>
        <v>157646.29985772082</v>
      </c>
    </row>
    <row r="3" spans="1:9" ht="18">
      <c r="A3" t="s">
        <v>206</v>
      </c>
      <c r="B3">
        <f>2*(3-1)*f_min.RFMIN*k+5/RSLP/CICS/k/n</f>
        <v>260500</v>
      </c>
    </row>
    <row r="4" spans="1:9" ht="18">
      <c r="A4" t="s">
        <v>207</v>
      </c>
      <c r="B4">
        <f>Vo/Io</f>
        <v>2</v>
      </c>
    </row>
    <row r="5" spans="1:9">
      <c r="A5" t="s">
        <v>208</v>
      </c>
      <c r="B5">
        <f>4/3*fs_nrm*k*Vin_max/B2/Vo</f>
        <v>14.653055619350562</v>
      </c>
    </row>
    <row r="6" spans="1:9" ht="18">
      <c r="A6" t="s">
        <v>209</v>
      </c>
      <c r="B6">
        <f>Vo/B4/fs_nrm/k+2/3*Vin_max*kramp/B2/fs_nrm/k/Vo</f>
        <v>2.8739777727169265E-4</v>
      </c>
    </row>
    <row r="7" spans="1:9">
      <c r="A7" t="s">
        <v>223</v>
      </c>
      <c r="B7">
        <f>fo*k</f>
        <v>95386.193078198208</v>
      </c>
    </row>
    <row r="8" spans="1:9">
      <c r="A8" t="s">
        <v>201</v>
      </c>
      <c r="B8">
        <f>Rac.e</f>
        <v>116.33444127439091</v>
      </c>
    </row>
    <row r="9" spans="1:9">
      <c r="A9" t="s">
        <v>219</v>
      </c>
      <c r="B9">
        <f>(Lp-Lr)/Lr</f>
        <v>4.6896551724137927</v>
      </c>
      <c r="D9" t="s">
        <v>210</v>
      </c>
      <c r="E9" s="95" t="s">
        <v>211</v>
      </c>
      <c r="F9" t="s">
        <v>212</v>
      </c>
      <c r="G9" t="s">
        <v>213</v>
      </c>
      <c r="H9" t="s">
        <v>214</v>
      </c>
      <c r="I9" t="s">
        <v>215</v>
      </c>
    </row>
    <row r="10" spans="1:9">
      <c r="A10" t="s">
        <v>220</v>
      </c>
      <c r="B10">
        <f>fs_nrm/fo</f>
        <v>1.1007882442055354</v>
      </c>
      <c r="D10" s="94">
        <v>16</v>
      </c>
      <c r="E10">
        <f>2*PI()*D10</f>
        <v>100.53096491487338</v>
      </c>
      <c r="F10" t="str">
        <f t="shared" ref="F10:F29" si="0">IMDIV(IMPRODUCT(COMPLEX(R_load,0),COMPLEX(1,E10*ESR*m*Cout*u)),COMPLEX(1,E10*(R_load+ESR*m)*Cout*u))</f>
        <v>1.03544898194072-0.997563568234396i</v>
      </c>
      <c r="G10" t="str">
        <f t="shared" ref="G10:G29" si="1">IMDIV(COMPLEX(1-COS(-E10/fs_nrm/k),-SIN(-E10/fs_nrm/k)),COMPLEX(0,E10/fs_nrm/k))</f>
        <v>0.999999847218829-0.000478718843960769i</v>
      </c>
    </row>
    <row r="11" spans="1:9">
      <c r="A11" t="s">
        <v>221</v>
      </c>
      <c r="B11">
        <f>2*PI()*fs_nrm*k*Lr*u-1/(2*PI()*fs_nrm*k*Cr*n)</f>
        <v>6.6862367961412765</v>
      </c>
      <c r="D11" s="94">
        <v>25</v>
      </c>
      <c r="E11">
        <f t="shared" ref="E11:E29" si="2">2*PI()*D11</f>
        <v>157.07963267948966</v>
      </c>
      <c r="F11" t="str">
        <f t="shared" si="0"/>
        <v>0.611895844006972-0.918792422344329i</v>
      </c>
      <c r="G11" t="str">
        <f t="shared" si="1"/>
        <v>0.999999626999114-0.000747998111331176i</v>
      </c>
    </row>
    <row r="12" spans="1:9">
      <c r="A12" t="s">
        <v>222</v>
      </c>
      <c r="B12">
        <f>SQRT(Lr*u/Cr/n)</f>
        <v>34.761089357690352</v>
      </c>
      <c r="D12" s="94">
        <v>40</v>
      </c>
      <c r="E12">
        <f t="shared" si="2"/>
        <v>251.32741228718345</v>
      </c>
      <c r="F12" t="str">
        <f t="shared" si="0"/>
        <v>0.295457801447256-0.705152621668736i</v>
      </c>
      <c r="G12" t="str">
        <f t="shared" si="1"/>
        <v>0.999999045117912-0.0011967966299877i</v>
      </c>
    </row>
    <row r="13" spans="1:9">
      <c r="A13" t="s">
        <v>225</v>
      </c>
      <c r="B13">
        <f>Q</f>
        <v>0.29880307995550093</v>
      </c>
      <c r="D13" s="94">
        <v>63</v>
      </c>
      <c r="E13">
        <f t="shared" si="2"/>
        <v>395.84067435231395</v>
      </c>
      <c r="F13" t="str">
        <f t="shared" si="0"/>
        <v>0.132577491334617-0.49049817817644i</v>
      </c>
      <c r="G13" t="str">
        <f t="shared" si="1"/>
        <v>0.999997631296627-0.00188495335971731i</v>
      </c>
    </row>
    <row r="14" spans="1:9">
      <c r="A14" t="s">
        <v>224</v>
      </c>
      <c r="B14">
        <f>B12/R_load/nn^2</f>
        <v>0.19963205412078411</v>
      </c>
      <c r="D14" s="94">
        <v>100</v>
      </c>
      <c r="E14">
        <f t="shared" si="2"/>
        <v>628.31853071795865</v>
      </c>
      <c r="F14" t="str">
        <f t="shared" si="0"/>
        <v>0.0569483035914454-0.321528677652853i</v>
      </c>
      <c r="G14" t="str">
        <f t="shared" si="1"/>
        <v>0.999994031995931-0.00299198407529221i</v>
      </c>
    </row>
    <row r="15" spans="1:9">
      <c r="A15" t="s">
        <v>226</v>
      </c>
      <c r="B15">
        <f>Lr*u*(1+1/B10^2)</f>
        <v>1.0586526060201141E-4</v>
      </c>
      <c r="D15" s="94">
        <v>160</v>
      </c>
      <c r="E15">
        <f t="shared" si="2"/>
        <v>1005.3096491487338</v>
      </c>
      <c r="F15" t="str">
        <f t="shared" si="0"/>
        <v>0.0248694336773439-0.204273103089354i</v>
      </c>
      <c r="G15" t="str">
        <f t="shared" si="1"/>
        <v>0.999984721952254-0.00478715223596005i</v>
      </c>
    </row>
    <row r="16" spans="1:9">
      <c r="A16" t="s">
        <v>227</v>
      </c>
      <c r="B16">
        <f>Lr*u*(1+1/B10^2)+(Lp-Lr)*u*(1-B10)</f>
        <v>7.8450858178105763E-5</v>
      </c>
      <c r="D16" s="94">
        <v>250</v>
      </c>
      <c r="E16">
        <f t="shared" si="2"/>
        <v>1570.7963267948965</v>
      </c>
      <c r="F16" t="str">
        <f t="shared" si="0"/>
        <v>0.0124507848395722-0.131556781963485i</v>
      </c>
      <c r="G16" t="str">
        <f t="shared" si="1"/>
        <v>0.999962700325164-0.00747984300756748i</v>
      </c>
    </row>
    <row r="17" spans="1:7">
      <c r="A17" t="s">
        <v>228</v>
      </c>
      <c r="B17">
        <f>SQRT(R_load+PI()*ESR*m/SQRT(8))*8*PI()*nn*SQRT(B16*Cout*u*R_load)/(16*SQRT(2)*nn^2*R_load*Cout*u*ESR*m+PI()^3*B16)</f>
        <v>3.9277252585572744</v>
      </c>
      <c r="D17" s="94">
        <v>400</v>
      </c>
      <c r="E17">
        <f t="shared" si="2"/>
        <v>2513.2741228718346</v>
      </c>
      <c r="F17" t="str">
        <f t="shared" si="0"/>
        <v>0.00715353312874128-0.0824421309070961i</v>
      </c>
      <c r="G17" t="str">
        <f t="shared" si="1"/>
        <v>0.999904514499282-0.0119674006243199i</v>
      </c>
    </row>
    <row r="18" spans="1:7">
      <c r="A18" t="s">
        <v>229</v>
      </c>
      <c r="B18">
        <f>1/SQRT(B16*PI()^2/8/nn^2*Cout*u*(1+PI()*ESR*m/SQRT(8)/R_load))</f>
        <v>13675.41282257149</v>
      </c>
      <c r="D18" s="94">
        <v>630</v>
      </c>
      <c r="E18">
        <f t="shared" si="2"/>
        <v>3958.4067435231395</v>
      </c>
      <c r="F18" t="str">
        <f t="shared" si="0"/>
        <v>0.00511926113957828-0.0523976423947902i</v>
      </c>
      <c r="G18" t="str">
        <f t="shared" si="1"/>
        <v>0.999763146326095-0.0188473235753766i</v>
      </c>
    </row>
    <row r="19" spans="1:7">
      <c r="D19" s="94">
        <v>1000</v>
      </c>
      <c r="E19">
        <f t="shared" si="2"/>
        <v>6283.1853071795858</v>
      </c>
      <c r="F19" t="str">
        <f t="shared" si="0"/>
        <v>0.00428945435616678-0.0330242460303431i</v>
      </c>
      <c r="G19" t="str">
        <f t="shared" si="1"/>
        <v>0.999403305366991-0.0299110029705889i</v>
      </c>
    </row>
    <row r="20" spans="1:7">
      <c r="A20" s="96" t="s">
        <v>216</v>
      </c>
      <c r="B20" s="96" t="str">
        <f>IF(fs_nrm&gt;fo,"ABOVE","BELOW")</f>
        <v>ABOVE</v>
      </c>
      <c r="D20" s="94">
        <v>1600</v>
      </c>
      <c r="E20">
        <f t="shared" si="2"/>
        <v>10053.096491487338</v>
      </c>
      <c r="F20" t="str">
        <f t="shared" si="0"/>
        <v>0.00395648332397528-0.0206435974413547i</v>
      </c>
      <c r="G20" t="str">
        <f t="shared" si="1"/>
        <v>0.998472888332548-0.0478353296099861i</v>
      </c>
    </row>
    <row r="21" spans="1:7">
      <c r="A21" t="s">
        <v>218</v>
      </c>
      <c r="B21">
        <f>2*PI()*Vin_max*B9/(2*nn*2*PI()*B7*B10)*((1/B10^2-B10^2)*(PI()^2*B14*B9/8)^2-(B9+1-1/B10^2)*2/B10^2)/(SQRT((B9+1-1/B10^2)^2+((1/B10-B10)*PI()^2*B9*B14/8)^2))^3</f>
        <v>-7.0135361900488315E-5</v>
      </c>
      <c r="D21" s="94">
        <v>2500</v>
      </c>
      <c r="E21">
        <f t="shared" si="2"/>
        <v>15707.963267948966</v>
      </c>
      <c r="F21" t="str">
        <f t="shared" si="0"/>
        <v>0.00383043761081164-0.0132127366647463i</v>
      </c>
      <c r="G21" t="str">
        <f t="shared" si="1"/>
        <v>0.996274162445353-0.0746604270939726i</v>
      </c>
    </row>
    <row r="22" spans="1:7">
      <c r="A22" t="s">
        <v>217</v>
      </c>
      <c r="B22">
        <f>IF(BRIDGE,B21*2,B21)</f>
        <v>-7.0135361900488315E-5</v>
      </c>
      <c r="D22" s="94">
        <v>4000</v>
      </c>
      <c r="E22">
        <f t="shared" si="2"/>
        <v>25132.741228718343</v>
      </c>
      <c r="F22" t="str">
        <f t="shared" si="0"/>
        <v>0.00377714520451647-0.00825818088099699i</v>
      </c>
      <c r="G22" t="str">
        <f t="shared" si="1"/>
        <v>0.990478493117268-0.119109409992584i</v>
      </c>
    </row>
    <row r="23" spans="1:7">
      <c r="A23" t="s">
        <v>230</v>
      </c>
      <c r="D23" s="94">
        <v>6300</v>
      </c>
      <c r="E23">
        <f t="shared" si="2"/>
        <v>39584.067435231394</v>
      </c>
      <c r="F23" t="str">
        <f t="shared" si="0"/>
        <v>0.00375675410123859-0.00524334300763115i</v>
      </c>
      <c r="G23" t="str">
        <f t="shared" si="1"/>
        <v>0.976480703887656-0.186273656536138i</v>
      </c>
    </row>
    <row r="24" spans="1:7">
      <c r="A24" t="s">
        <v>230</v>
      </c>
      <c r="B24">
        <f>IF(BRIDGE,B23*2,B23)</f>
        <v>0</v>
      </c>
      <c r="D24" s="94">
        <v>10000</v>
      </c>
      <c r="E24">
        <f t="shared" si="2"/>
        <v>62831.853071795864</v>
      </c>
      <c r="F24" t="str">
        <f t="shared" si="0"/>
        <v>0.00374844811479547-0.00330331983923266i</v>
      </c>
      <c r="G24" t="str">
        <f t="shared" si="1"/>
        <v>0.941379303728209-0.290377058845816i</v>
      </c>
    </row>
    <row r="25" spans="1:7">
      <c r="D25" s="94">
        <v>16000</v>
      </c>
      <c r="E25">
        <f t="shared" si="2"/>
        <v>100530.96491487337</v>
      </c>
      <c r="F25" t="str">
        <f t="shared" si="0"/>
        <v>0.00374511714915345-0.00206457834449109i</v>
      </c>
      <c r="G25" t="str">
        <f t="shared" si="1"/>
        <v>0.854070540031814-0.443248586549791i</v>
      </c>
    </row>
    <row r="26" spans="1:7">
      <c r="D26" s="94">
        <v>25000</v>
      </c>
      <c r="E26">
        <f t="shared" si="2"/>
        <v>157079.63267948964</v>
      </c>
      <c r="F26" t="str">
        <f t="shared" si="0"/>
        <v>0.00374385650387239-0.00132133097490111i</v>
      </c>
      <c r="G26" t="str">
        <f t="shared" si="1"/>
        <v>0.666581637083847-0.618497373059561i</v>
      </c>
    </row>
    <row r="27" spans="1:7">
      <c r="D27" s="94">
        <v>40000</v>
      </c>
      <c r="E27">
        <f t="shared" si="2"/>
        <v>251327.41228718346</v>
      </c>
      <c r="F27" t="str">
        <f t="shared" si="0"/>
        <v>0.00374332354766496-0.000825832079792024i</v>
      </c>
      <c r="G27" t="str">
        <f t="shared" si="1"/>
        <v>0.284163740103047-0.724037401595496i</v>
      </c>
    </row>
    <row r="28" spans="1:7">
      <c r="D28" s="94">
        <v>63000</v>
      </c>
      <c r="E28">
        <f t="shared" si="2"/>
        <v>395840.67435231392</v>
      </c>
      <c r="F28" t="str">
        <f t="shared" si="0"/>
        <v>0.0037431196317846-0.000524337882000032i</v>
      </c>
      <c r="G28" t="str">
        <f t="shared" si="1"/>
        <v>-0.15591488063144-0.479856661320028i</v>
      </c>
    </row>
    <row r="29" spans="1:7">
      <c r="D29" s="94">
        <v>100000</v>
      </c>
      <c r="E29">
        <f t="shared" si="2"/>
        <v>628318.53071795858</v>
      </c>
      <c r="F29" t="str">
        <f t="shared" si="0"/>
        <v>0.00374303657112771-0.000330332879404577i</v>
      </c>
      <c r="G29" t="str">
        <f t="shared" si="1"/>
        <v>-0.0492573301598797-0.00742434794518135i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68</vt:i4>
      </vt:variant>
    </vt:vector>
  </HeadingPairs>
  <TitlesOfParts>
    <vt:vector size="73" baseType="lpstr">
      <vt:lpstr>LLC Design Tool</vt:lpstr>
      <vt:lpstr>PeakGainCurve</vt:lpstr>
      <vt:lpstr>GainCurve</vt:lpstr>
      <vt:lpstr>ICS_attn_aprox</vt:lpstr>
      <vt:lpstr>Gvc_transfer_function</vt:lpstr>
      <vt:lpstr>Ae</vt:lpstr>
      <vt:lpstr>answer</vt:lpstr>
      <vt:lpstr>Attn1</vt:lpstr>
      <vt:lpstr>attn2</vt:lpstr>
      <vt:lpstr>Bmax</vt:lpstr>
      <vt:lpstr>BRIDGE</vt:lpstr>
      <vt:lpstr>C.DT</vt:lpstr>
      <vt:lpstr>Cdl</vt:lpstr>
      <vt:lpstr>CICS</vt:lpstr>
      <vt:lpstr>coef0</vt:lpstr>
      <vt:lpstr>coef1</vt:lpstr>
      <vt:lpstr>coef2</vt:lpstr>
      <vt:lpstr>coef3</vt:lpstr>
      <vt:lpstr>coef4</vt:lpstr>
      <vt:lpstr>Cout</vt:lpstr>
      <vt:lpstr>Cr</vt:lpstr>
      <vt:lpstr>Crd</vt:lpstr>
      <vt:lpstr>Eff</vt:lpstr>
      <vt:lpstr>ESR</vt:lpstr>
      <vt:lpstr>f_min</vt:lpstr>
      <vt:lpstr>f_min.curve</vt:lpstr>
      <vt:lpstr>f_min.RFMIN</vt:lpstr>
      <vt:lpstr>fo</vt:lpstr>
      <vt:lpstr>fod</vt:lpstr>
      <vt:lpstr>fs_nrm</vt:lpstr>
      <vt:lpstr>I.PR.ocp</vt:lpstr>
      <vt:lpstr>Io</vt:lpstr>
      <vt:lpstr>Io.olp</vt:lpstr>
      <vt:lpstr>Iocp</vt:lpstr>
      <vt:lpstr>kramp</vt:lpstr>
      <vt:lpstr>Lp</vt:lpstr>
      <vt:lpstr>Lr</vt:lpstr>
      <vt:lpstr>Lrd</vt:lpstr>
      <vt:lpstr>M_min</vt:lpstr>
      <vt:lpstr>Ma</vt:lpstr>
      <vt:lpstr>Max_Gain_required</vt:lpstr>
      <vt:lpstr>MC</vt:lpstr>
      <vt:lpstr>mm</vt:lpstr>
      <vt:lpstr>Mv</vt:lpstr>
      <vt:lpstr>n</vt:lpstr>
      <vt:lpstr>nct</vt:lpstr>
      <vt:lpstr>nn</vt:lpstr>
      <vt:lpstr>Np</vt:lpstr>
      <vt:lpstr>Ns</vt:lpstr>
      <vt:lpstr>Pin</vt:lpstr>
      <vt:lpstr>Po</vt:lpstr>
      <vt:lpstr>Q</vt:lpstr>
      <vt:lpstr>Q.e</vt:lpstr>
      <vt:lpstr>Qd</vt:lpstr>
      <vt:lpstr>R.DT</vt:lpstr>
      <vt:lpstr>R_load</vt:lpstr>
      <vt:lpstr>Rac</vt:lpstr>
      <vt:lpstr>Rac.e</vt:lpstr>
      <vt:lpstr>RCS</vt:lpstr>
      <vt:lpstr>RECTIFIER</vt:lpstr>
      <vt:lpstr>RICS</vt:lpstr>
      <vt:lpstr>RSLP</vt:lpstr>
      <vt:lpstr>Thu</vt:lpstr>
      <vt:lpstr>u</vt:lpstr>
      <vt:lpstr>VCOMP.PWM</vt:lpstr>
      <vt:lpstr>VF</vt:lpstr>
      <vt:lpstr>VICS.SLP</vt:lpstr>
      <vt:lpstr>Vin_max</vt:lpstr>
      <vt:lpstr>Vin_min</vt:lpstr>
      <vt:lpstr>Vo</vt:lpstr>
      <vt:lpstr>wm</vt:lpstr>
      <vt:lpstr>wo</vt:lpstr>
      <vt:lpstr>wp</vt:lpstr>
    </vt:vector>
  </TitlesOfParts>
  <Company>Fairchild Semiconductor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Walter Chiu</cp:lastModifiedBy>
  <dcterms:created xsi:type="dcterms:W3CDTF">2015-12-07T23:10:23Z</dcterms:created>
  <dcterms:modified xsi:type="dcterms:W3CDTF">2021-08-27T02:31:32Z</dcterms:modified>
</cp:coreProperties>
</file>