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164"/>
  </bookViews>
  <sheets>
    <sheet name="Front" sheetId="1" r:id="rId1"/>
    <sheet name="Sheet1" sheetId="2" r:id="rId2"/>
    <sheet name="Sheet2" sheetId="3" r:id="rId3"/>
  </sheets>
  <calcPr calcId="162913"/>
</workbook>
</file>

<file path=xl/calcChain.xml><?xml version="1.0" encoding="utf-8"?>
<calcChain xmlns="http://schemas.openxmlformats.org/spreadsheetml/2006/main">
  <c r="F85" i="1" l="1"/>
  <c r="D85" i="1" l="1"/>
  <c r="D74" i="1" l="1"/>
  <c r="D58" i="1" l="1"/>
  <c r="P121" i="1"/>
  <c r="D59" i="1" l="1"/>
  <c r="D44" i="1"/>
  <c r="D45" i="1" s="1"/>
  <c r="D46" i="1" s="1"/>
  <c r="D36" i="1"/>
  <c r="D33" i="1"/>
  <c r="D79" i="1" l="1"/>
  <c r="D75" i="1" l="1"/>
  <c r="D60" i="1" l="1"/>
  <c r="D65" i="1"/>
  <c r="D68" i="1" l="1"/>
  <c r="D76" i="1"/>
  <c r="D78" i="1"/>
  <c r="D77" i="1"/>
  <c r="D89" i="1" l="1"/>
  <c r="D62" i="1"/>
  <c r="D63" i="1" s="1"/>
  <c r="D66" i="1"/>
  <c r="D69" i="1"/>
  <c r="D37" i="1" l="1"/>
  <c r="D49" i="1" s="1"/>
  <c r="D39" i="1" l="1"/>
  <c r="D84" i="1" l="1"/>
  <c r="F84" i="1" s="1"/>
  <c r="F81" i="1" s="1"/>
  <c r="D86" i="1"/>
  <c r="D90" i="1"/>
  <c r="D47" i="1" l="1"/>
  <c r="D88" i="1"/>
  <c r="B122" i="1" l="1"/>
  <c r="Q122" i="1" s="1"/>
  <c r="R122" i="1" s="1"/>
  <c r="B123" i="1"/>
  <c r="Q123" i="1" s="1"/>
  <c r="R123" i="1" s="1"/>
  <c r="B124" i="1"/>
  <c r="Q124" i="1" s="1"/>
  <c r="R124" i="1" s="1"/>
  <c r="B125" i="1"/>
  <c r="Q125" i="1" s="1"/>
  <c r="R125" i="1" s="1"/>
  <c r="B126" i="1"/>
  <c r="Q126" i="1" s="1"/>
  <c r="R126" i="1" s="1"/>
  <c r="B127" i="1"/>
  <c r="Q127" i="1" s="1"/>
  <c r="R127" i="1" s="1"/>
  <c r="B128" i="1"/>
  <c r="Q128" i="1" s="1"/>
  <c r="R128" i="1" s="1"/>
  <c r="B129" i="1"/>
  <c r="Q129" i="1" s="1"/>
  <c r="R129" i="1" s="1"/>
  <c r="B130" i="1"/>
  <c r="Q130" i="1" s="1"/>
  <c r="R130" i="1" s="1"/>
  <c r="B131" i="1"/>
  <c r="Q131" i="1" s="1"/>
  <c r="R131" i="1" s="1"/>
  <c r="B132" i="1"/>
  <c r="Q132" i="1" s="1"/>
  <c r="R132" i="1" s="1"/>
  <c r="B133" i="1"/>
  <c r="Q133" i="1" s="1"/>
  <c r="R133" i="1" s="1"/>
  <c r="B134" i="1"/>
  <c r="Q134" i="1" s="1"/>
  <c r="R134" i="1" s="1"/>
  <c r="B135" i="1"/>
  <c r="Q135" i="1" s="1"/>
  <c r="R135" i="1" s="1"/>
  <c r="B136" i="1"/>
  <c r="Q136" i="1" s="1"/>
  <c r="R136" i="1" s="1"/>
  <c r="B137" i="1"/>
  <c r="Q137" i="1" s="1"/>
  <c r="R137" i="1" s="1"/>
  <c r="B138" i="1"/>
  <c r="Q138" i="1" s="1"/>
  <c r="R138" i="1" s="1"/>
  <c r="B139" i="1"/>
  <c r="Q139" i="1" s="1"/>
  <c r="R139" i="1" s="1"/>
  <c r="B140" i="1"/>
  <c r="Q140" i="1" s="1"/>
  <c r="R140" i="1" s="1"/>
  <c r="B141" i="1"/>
  <c r="Q141" i="1" s="1"/>
  <c r="R141" i="1" s="1"/>
  <c r="B142" i="1"/>
  <c r="Q142" i="1" s="1"/>
  <c r="R142" i="1" s="1"/>
  <c r="B143" i="1"/>
  <c r="Q143" i="1" s="1"/>
  <c r="R143" i="1" s="1"/>
  <c r="B144" i="1"/>
  <c r="Q144" i="1" s="1"/>
  <c r="R144" i="1" s="1"/>
  <c r="B145" i="1"/>
  <c r="Q145" i="1" s="1"/>
  <c r="R145" i="1" s="1"/>
  <c r="B146" i="1"/>
  <c r="Q146" i="1" s="1"/>
  <c r="R146" i="1" s="1"/>
  <c r="B147" i="1"/>
  <c r="Q147" i="1" s="1"/>
  <c r="R147" i="1" s="1"/>
  <c r="B148" i="1"/>
  <c r="Q148" i="1" s="1"/>
  <c r="R148" i="1" s="1"/>
  <c r="B149" i="1"/>
  <c r="Q149" i="1" s="1"/>
  <c r="R149" i="1" s="1"/>
  <c r="B150" i="1"/>
  <c r="Q150" i="1" s="1"/>
  <c r="R150" i="1" s="1"/>
  <c r="B151" i="1"/>
  <c r="Q151" i="1" s="1"/>
  <c r="R151" i="1" s="1"/>
  <c r="B152" i="1"/>
  <c r="Q152" i="1" s="1"/>
  <c r="R152" i="1" s="1"/>
  <c r="B153" i="1"/>
  <c r="Q153" i="1" s="1"/>
  <c r="R153" i="1" s="1"/>
  <c r="B154" i="1"/>
  <c r="Q154" i="1" s="1"/>
  <c r="R154" i="1" s="1"/>
  <c r="B155" i="1"/>
  <c r="Q155" i="1" s="1"/>
  <c r="R155" i="1" s="1"/>
  <c r="B156" i="1"/>
  <c r="Q156" i="1" s="1"/>
  <c r="R156" i="1" s="1"/>
  <c r="B157" i="1"/>
  <c r="Q157" i="1" s="1"/>
  <c r="R157" i="1" s="1"/>
  <c r="B158" i="1"/>
  <c r="Q158" i="1" s="1"/>
  <c r="R158" i="1" s="1"/>
  <c r="B159" i="1"/>
  <c r="Q159" i="1" s="1"/>
  <c r="R159" i="1" s="1"/>
  <c r="B160" i="1"/>
  <c r="Q160" i="1" s="1"/>
  <c r="R160" i="1" s="1"/>
  <c r="B161" i="1"/>
  <c r="Q161" i="1" s="1"/>
  <c r="R161" i="1" s="1"/>
  <c r="B121" i="1"/>
  <c r="Q121" i="1" s="1"/>
  <c r="R121" i="1" s="1"/>
  <c r="C161" i="1" l="1"/>
  <c r="D161" i="1" s="1"/>
  <c r="E161" i="1" s="1"/>
  <c r="C145" i="1"/>
  <c r="D145" i="1" s="1"/>
  <c r="E145" i="1" s="1"/>
  <c r="C137" i="1"/>
  <c r="D137" i="1" s="1"/>
  <c r="E137" i="1" s="1"/>
  <c r="C129" i="1"/>
  <c r="D129" i="1" s="1"/>
  <c r="E129" i="1" s="1"/>
  <c r="C152" i="1"/>
  <c r="D152" i="1" s="1"/>
  <c r="E152" i="1" s="1"/>
  <c r="C128" i="1"/>
  <c r="D128" i="1" s="1"/>
  <c r="E128" i="1" s="1"/>
  <c r="C126" i="1"/>
  <c r="D126" i="1" s="1"/>
  <c r="E126" i="1" s="1"/>
  <c r="C160" i="1"/>
  <c r="D160" i="1" s="1"/>
  <c r="E160" i="1" s="1"/>
  <c r="C151" i="1"/>
  <c r="D151" i="1" s="1"/>
  <c r="E151" i="1" s="1"/>
  <c r="C134" i="1"/>
  <c r="D134" i="1" s="1"/>
  <c r="E134" i="1" s="1"/>
  <c r="C149" i="1"/>
  <c r="D149" i="1" s="1"/>
  <c r="E149" i="1" s="1"/>
  <c r="C141" i="1"/>
  <c r="D141" i="1" s="1"/>
  <c r="E141" i="1" s="1"/>
  <c r="C133" i="1"/>
  <c r="D133" i="1" s="1"/>
  <c r="E133" i="1" s="1"/>
  <c r="C125" i="1"/>
  <c r="D125" i="1" s="1"/>
  <c r="E125" i="1" s="1"/>
  <c r="C153" i="1"/>
  <c r="D153" i="1" s="1"/>
  <c r="E153" i="1" s="1"/>
  <c r="C159" i="1"/>
  <c r="D159" i="1" s="1"/>
  <c r="E159" i="1" s="1"/>
  <c r="C143" i="1"/>
  <c r="D143" i="1" s="1"/>
  <c r="E143" i="1" s="1"/>
  <c r="C158" i="1"/>
  <c r="D158" i="1" s="1"/>
  <c r="E158" i="1" s="1"/>
  <c r="C148" i="1"/>
  <c r="D148" i="1" s="1"/>
  <c r="E148" i="1" s="1"/>
  <c r="C140" i="1"/>
  <c r="D140" i="1" s="1"/>
  <c r="E140" i="1" s="1"/>
  <c r="C132" i="1"/>
  <c r="D132" i="1" s="1"/>
  <c r="E132" i="1" s="1"/>
  <c r="C124" i="1"/>
  <c r="D124" i="1" s="1"/>
  <c r="E124" i="1" s="1"/>
  <c r="C136" i="1"/>
  <c r="D136" i="1" s="1"/>
  <c r="E136" i="1" s="1"/>
  <c r="C135" i="1"/>
  <c r="D135" i="1" s="1"/>
  <c r="E135" i="1" s="1"/>
  <c r="C142" i="1"/>
  <c r="D142" i="1" s="1"/>
  <c r="E142" i="1" s="1"/>
  <c r="C155" i="1"/>
  <c r="D155" i="1" s="1"/>
  <c r="E155" i="1" s="1"/>
  <c r="C139" i="1"/>
  <c r="D139" i="1" s="1"/>
  <c r="E139" i="1" s="1"/>
  <c r="C131" i="1"/>
  <c r="D131" i="1" s="1"/>
  <c r="E131" i="1" s="1"/>
  <c r="C123" i="1"/>
  <c r="D123" i="1" s="1"/>
  <c r="E123" i="1" s="1"/>
  <c r="C144" i="1"/>
  <c r="D144" i="1" s="1"/>
  <c r="E144" i="1" s="1"/>
  <c r="C127" i="1"/>
  <c r="D127" i="1" s="1"/>
  <c r="E127" i="1" s="1"/>
  <c r="C150" i="1"/>
  <c r="D150" i="1" s="1"/>
  <c r="E150" i="1" s="1"/>
  <c r="C157" i="1"/>
  <c r="D157" i="1" s="1"/>
  <c r="E157" i="1" s="1"/>
  <c r="C156" i="1"/>
  <c r="D156" i="1" s="1"/>
  <c r="E156" i="1" s="1"/>
  <c r="C147" i="1"/>
  <c r="D147" i="1" s="1"/>
  <c r="E147" i="1" s="1"/>
  <c r="C121" i="1"/>
  <c r="D121" i="1" s="1"/>
  <c r="C154" i="1"/>
  <c r="D154" i="1" s="1"/>
  <c r="E154" i="1" s="1"/>
  <c r="C146" i="1"/>
  <c r="D146" i="1" s="1"/>
  <c r="E146" i="1" s="1"/>
  <c r="C138" i="1"/>
  <c r="D138" i="1" s="1"/>
  <c r="E138" i="1" s="1"/>
  <c r="C130" i="1"/>
  <c r="D130" i="1" s="1"/>
  <c r="E130" i="1" s="1"/>
  <c r="C122" i="1"/>
  <c r="D122" i="1" s="1"/>
  <c r="E122" i="1" s="1"/>
  <c r="F122" i="1" s="1"/>
  <c r="H159" i="1"/>
  <c r="I159" i="1" s="1"/>
  <c r="H142" i="1"/>
  <c r="I142" i="1" s="1"/>
  <c r="H141" i="1"/>
  <c r="H160" i="1"/>
  <c r="I160" i="1" s="1"/>
  <c r="H140" i="1"/>
  <c r="I140" i="1" s="1"/>
  <c r="H143" i="1"/>
  <c r="I143" i="1" s="1"/>
  <c r="G123" i="1"/>
  <c r="H154" i="1"/>
  <c r="I154" i="1" s="1"/>
  <c r="H161" i="1"/>
  <c r="H145" i="1"/>
  <c r="H137" i="1"/>
  <c r="H129" i="1"/>
  <c r="H126" i="1" l="1"/>
  <c r="I126" i="1" s="1"/>
  <c r="H135" i="1"/>
  <c r="I135" i="1" s="1"/>
  <c r="H125" i="1"/>
  <c r="K125" i="1" s="1"/>
  <c r="H131" i="1"/>
  <c r="I131" i="1" s="1"/>
  <c r="H151" i="1"/>
  <c r="I151" i="1" s="1"/>
  <c r="H124" i="1"/>
  <c r="I124" i="1" s="1"/>
  <c r="H158" i="1"/>
  <c r="I158" i="1" s="1"/>
  <c r="H122" i="1"/>
  <c r="I122" i="1" s="1"/>
  <c r="H138" i="1"/>
  <c r="I138" i="1" s="1"/>
  <c r="H128" i="1"/>
  <c r="I128" i="1" s="1"/>
  <c r="H147" i="1"/>
  <c r="I147" i="1" s="1"/>
  <c r="H156" i="1"/>
  <c r="I156" i="1" s="1"/>
  <c r="H157" i="1"/>
  <c r="J157" i="1" s="1"/>
  <c r="H155" i="1"/>
  <c r="I155" i="1" s="1"/>
  <c r="H149" i="1"/>
  <c r="J149" i="1" s="1"/>
  <c r="H134" i="1"/>
  <c r="I134" i="1" s="1"/>
  <c r="H121" i="1"/>
  <c r="I121" i="1" s="1"/>
  <c r="E121" i="1"/>
  <c r="H136" i="1"/>
  <c r="I136" i="1" s="1"/>
  <c r="H144" i="1"/>
  <c r="I144" i="1" s="1"/>
  <c r="H150" i="1"/>
  <c r="I150" i="1" s="1"/>
  <c r="H130" i="1"/>
  <c r="I130" i="1" s="1"/>
  <c r="H123" i="1"/>
  <c r="I123" i="1" s="1"/>
  <c r="H132" i="1"/>
  <c r="I132" i="1" s="1"/>
  <c r="H133" i="1"/>
  <c r="J133" i="1" s="1"/>
  <c r="H127" i="1"/>
  <c r="I127" i="1" s="1"/>
  <c r="H153" i="1"/>
  <c r="J153" i="1" s="1"/>
  <c r="H146" i="1"/>
  <c r="I146" i="1" s="1"/>
  <c r="H139" i="1"/>
  <c r="I139" i="1" s="1"/>
  <c r="H148" i="1"/>
  <c r="I148" i="1" s="1"/>
  <c r="H152" i="1"/>
  <c r="I152" i="1" s="1"/>
  <c r="J161" i="1"/>
  <c r="I161" i="1"/>
  <c r="J129" i="1"/>
  <c r="I129" i="1"/>
  <c r="J137" i="1"/>
  <c r="I137" i="1"/>
  <c r="J145" i="1"/>
  <c r="I145" i="1"/>
  <c r="J141" i="1"/>
  <c r="I141" i="1"/>
  <c r="J159" i="1"/>
  <c r="J142" i="1"/>
  <c r="J135" i="1"/>
  <c r="J131" i="1"/>
  <c r="J140" i="1"/>
  <c r="J151" i="1"/>
  <c r="J160" i="1"/>
  <c r="J143" i="1"/>
  <c r="J128" i="1"/>
  <c r="J154" i="1"/>
  <c r="G124" i="1"/>
  <c r="F153" i="1"/>
  <c r="G153" i="1"/>
  <c r="K161" i="1"/>
  <c r="F161" i="1"/>
  <c r="G161" i="1"/>
  <c r="G134" i="1"/>
  <c r="F134" i="1"/>
  <c r="K150" i="1"/>
  <c r="G150" i="1"/>
  <c r="F150" i="1"/>
  <c r="G138" i="1"/>
  <c r="F138" i="1"/>
  <c r="J126" i="1"/>
  <c r="K129" i="1"/>
  <c r="F129" i="1"/>
  <c r="G129" i="1"/>
  <c r="F132" i="1"/>
  <c r="G132" i="1"/>
  <c r="F148" i="1"/>
  <c r="G148" i="1"/>
  <c r="F156" i="1"/>
  <c r="G156" i="1"/>
  <c r="K126" i="1"/>
  <c r="G126" i="1"/>
  <c r="F126" i="1"/>
  <c r="K131" i="1"/>
  <c r="G131" i="1"/>
  <c r="F131" i="1"/>
  <c r="G147" i="1"/>
  <c r="F147" i="1"/>
  <c r="J155" i="1"/>
  <c r="F124" i="1"/>
  <c r="F149" i="1"/>
  <c r="G149" i="1"/>
  <c r="G157" i="1"/>
  <c r="F157" i="1"/>
  <c r="G130" i="1"/>
  <c r="F130" i="1"/>
  <c r="G146" i="1"/>
  <c r="F146" i="1"/>
  <c r="F133" i="1"/>
  <c r="G133" i="1"/>
  <c r="K145" i="1"/>
  <c r="F145" i="1"/>
  <c r="G145" i="1"/>
  <c r="K154" i="1"/>
  <c r="G154" i="1"/>
  <c r="F154" i="1"/>
  <c r="F140" i="1"/>
  <c r="K140" i="1"/>
  <c r="G140" i="1"/>
  <c r="F123" i="1"/>
  <c r="F139" i="1"/>
  <c r="G139" i="1"/>
  <c r="F155" i="1"/>
  <c r="G155" i="1"/>
  <c r="F125" i="1"/>
  <c r="G125" i="1"/>
  <c r="F137" i="1"/>
  <c r="G137" i="1"/>
  <c r="K137" i="1"/>
  <c r="K141" i="1"/>
  <c r="G141" i="1"/>
  <c r="F141" i="1"/>
  <c r="K128" i="1"/>
  <c r="F128" i="1"/>
  <c r="G128" i="1"/>
  <c r="G136" i="1"/>
  <c r="F136" i="1"/>
  <c r="F144" i="1"/>
  <c r="G144" i="1"/>
  <c r="G152" i="1"/>
  <c r="F152" i="1"/>
  <c r="K160" i="1"/>
  <c r="F160" i="1"/>
  <c r="G160" i="1"/>
  <c r="G122" i="1"/>
  <c r="K142" i="1"/>
  <c r="G142" i="1"/>
  <c r="F142" i="1"/>
  <c r="G158" i="1"/>
  <c r="F158" i="1"/>
  <c r="F127" i="1"/>
  <c r="G127" i="1"/>
  <c r="K135" i="1"/>
  <c r="F135" i="1"/>
  <c r="G135" i="1"/>
  <c r="K143" i="1"/>
  <c r="F143" i="1"/>
  <c r="G143" i="1"/>
  <c r="K151" i="1"/>
  <c r="F151" i="1"/>
  <c r="G151" i="1"/>
  <c r="D91" i="1" s="1"/>
  <c r="K159" i="1"/>
  <c r="F159" i="1"/>
  <c r="G159" i="1"/>
  <c r="K147" i="1" l="1"/>
  <c r="M147" i="1" s="1"/>
  <c r="K136" i="1"/>
  <c r="M136" i="1" s="1"/>
  <c r="I125" i="1"/>
  <c r="J125" i="1"/>
  <c r="K157" i="1"/>
  <c r="M157" i="1" s="1"/>
  <c r="J136" i="1"/>
  <c r="J150" i="1"/>
  <c r="I157" i="1"/>
  <c r="K139" i="1"/>
  <c r="M139" i="1" s="1"/>
  <c r="K130" i="1"/>
  <c r="M130" i="1" s="1"/>
  <c r="J123" i="1"/>
  <c r="K124" i="1"/>
  <c r="M124" i="1" s="1"/>
  <c r="J130" i="1"/>
  <c r="K155" i="1"/>
  <c r="M155" i="1" s="1"/>
  <c r="K148" i="1"/>
  <c r="M148" i="1" s="1"/>
  <c r="J124" i="1"/>
  <c r="J147" i="1"/>
  <c r="I149" i="1"/>
  <c r="K158" i="1"/>
  <c r="M158" i="1" s="1"/>
  <c r="K149" i="1"/>
  <c r="M149" i="1" s="1"/>
  <c r="J158" i="1"/>
  <c r="K152" i="1"/>
  <c r="M152" i="1" s="1"/>
  <c r="K123" i="1"/>
  <c r="L123" i="1" s="1"/>
  <c r="J148" i="1"/>
  <c r="K146" i="1"/>
  <c r="L146" i="1" s="1"/>
  <c r="J139" i="1"/>
  <c r="J121" i="1"/>
  <c r="K122" i="1"/>
  <c r="L122" i="1" s="1"/>
  <c r="J134" i="1"/>
  <c r="K133" i="1"/>
  <c r="L133" i="1" s="1"/>
  <c r="K134" i="1"/>
  <c r="M134" i="1" s="1"/>
  <c r="J146" i="1"/>
  <c r="J132" i="1"/>
  <c r="K132" i="1"/>
  <c r="M132" i="1" s="1"/>
  <c r="J144" i="1"/>
  <c r="J156" i="1"/>
  <c r="K144" i="1"/>
  <c r="M144" i="1" s="1"/>
  <c r="K138" i="1"/>
  <c r="M138" i="1" s="1"/>
  <c r="I133" i="1"/>
  <c r="K156" i="1"/>
  <c r="M156" i="1" s="1"/>
  <c r="J138" i="1"/>
  <c r="J152" i="1"/>
  <c r="J122" i="1"/>
  <c r="I153" i="1"/>
  <c r="K121" i="1"/>
  <c r="L121" i="1" s="1"/>
  <c r="F121" i="1"/>
  <c r="K153" i="1"/>
  <c r="M153" i="1" s="1"/>
  <c r="J127" i="1"/>
  <c r="G121" i="1"/>
  <c r="K127" i="1"/>
  <c r="M127" i="1" s="1"/>
  <c r="M140" i="1"/>
  <c r="L140" i="1"/>
  <c r="M129" i="1"/>
  <c r="L129" i="1"/>
  <c r="M150" i="1"/>
  <c r="L150" i="1"/>
  <c r="M142" i="1"/>
  <c r="L142" i="1"/>
  <c r="M131" i="1"/>
  <c r="L131" i="1"/>
  <c r="M145" i="1"/>
  <c r="L145" i="1"/>
  <c r="M151" i="1"/>
  <c r="L151" i="1"/>
  <c r="M128" i="1"/>
  <c r="L128" i="1"/>
  <c r="M159" i="1"/>
  <c r="L159" i="1"/>
  <c r="M135" i="1"/>
  <c r="L135" i="1"/>
  <c r="M125" i="1"/>
  <c r="L125" i="1"/>
  <c r="M154" i="1"/>
  <c r="L154" i="1"/>
  <c r="M126" i="1"/>
  <c r="L126" i="1"/>
  <c r="M143" i="1"/>
  <c r="L143" i="1"/>
  <c r="M141" i="1"/>
  <c r="L141" i="1"/>
  <c r="M161" i="1"/>
  <c r="L161" i="1"/>
  <c r="M160" i="1"/>
  <c r="L160" i="1"/>
  <c r="M137" i="1"/>
  <c r="L137" i="1"/>
  <c r="L147" i="1"/>
  <c r="D110" i="1"/>
  <c r="D112" i="1"/>
  <c r="D108" i="1"/>
  <c r="L136" i="1" l="1"/>
  <c r="L157" i="1"/>
  <c r="M146" i="1"/>
  <c r="L139" i="1"/>
  <c r="L130" i="1"/>
  <c r="M122" i="1"/>
  <c r="L158" i="1"/>
  <c r="L124" i="1"/>
  <c r="L149" i="1"/>
  <c r="L155" i="1"/>
  <c r="L148" i="1"/>
  <c r="M123" i="1"/>
  <c r="L138" i="1"/>
  <c r="L152" i="1"/>
  <c r="L144" i="1"/>
  <c r="M121" i="1"/>
  <c r="L127" i="1"/>
  <c r="L134" i="1"/>
  <c r="L153" i="1"/>
  <c r="L156" i="1"/>
  <c r="M133" i="1"/>
  <c r="L132" i="1"/>
  <c r="D114" i="1"/>
  <c r="D116" i="1" s="1"/>
  <c r="S121" i="1" l="1"/>
  <c r="U121" i="1" s="1"/>
  <c r="S129" i="1"/>
  <c r="S124" i="1"/>
  <c r="S149" i="1"/>
  <c r="S159" i="1"/>
  <c r="S127" i="1"/>
  <c r="S157" i="1"/>
  <c r="S150" i="1"/>
  <c r="S133" i="1"/>
  <c r="S147" i="1"/>
  <c r="S139" i="1"/>
  <c r="S125" i="1"/>
  <c r="S160" i="1"/>
  <c r="S152" i="1"/>
  <c r="S131" i="1"/>
  <c r="S126" i="1"/>
  <c r="S122" i="1"/>
  <c r="S134" i="1"/>
  <c r="S155" i="1"/>
  <c r="S144" i="1"/>
  <c r="S135" i="1"/>
  <c r="S153" i="1"/>
  <c r="S156" i="1"/>
  <c r="S128" i="1"/>
  <c r="S161" i="1"/>
  <c r="S148" i="1"/>
  <c r="S146" i="1"/>
  <c r="S143" i="1"/>
  <c r="S140" i="1"/>
  <c r="S130" i="1"/>
  <c r="S142" i="1"/>
  <c r="S145" i="1"/>
  <c r="S123" i="1"/>
  <c r="S137" i="1"/>
  <c r="S158" i="1"/>
  <c r="S151" i="1"/>
  <c r="S154" i="1"/>
  <c r="S136" i="1"/>
  <c r="S138" i="1"/>
  <c r="S141" i="1"/>
  <c r="S132" i="1"/>
  <c r="T137" i="1" l="1"/>
  <c r="U137" i="1"/>
  <c r="V137" i="1"/>
  <c r="T141" i="1"/>
  <c r="U141" i="1"/>
  <c r="V141" i="1"/>
  <c r="T123" i="1"/>
  <c r="U123" i="1"/>
  <c r="V123" i="1"/>
  <c r="T161" i="1"/>
  <c r="U161" i="1"/>
  <c r="V161" i="1"/>
  <c r="T122" i="1"/>
  <c r="U122" i="1"/>
  <c r="V122" i="1"/>
  <c r="T133" i="1"/>
  <c r="U133" i="1"/>
  <c r="V133" i="1"/>
  <c r="T145" i="1"/>
  <c r="U145" i="1"/>
  <c r="V145" i="1"/>
  <c r="T121" i="1"/>
  <c r="V121" i="1"/>
  <c r="T142" i="1"/>
  <c r="U142" i="1"/>
  <c r="V142" i="1"/>
  <c r="V156" i="1"/>
  <c r="T156" i="1"/>
  <c r="U156" i="1"/>
  <c r="T131" i="1"/>
  <c r="U131" i="1"/>
  <c r="V131" i="1"/>
  <c r="T157" i="1"/>
  <c r="U157" i="1"/>
  <c r="V157" i="1"/>
  <c r="T126" i="1"/>
  <c r="U126" i="1"/>
  <c r="V126" i="1"/>
  <c r="V136" i="1"/>
  <c r="U136" i="1"/>
  <c r="T136" i="1"/>
  <c r="T130" i="1"/>
  <c r="U130" i="1"/>
  <c r="V130" i="1"/>
  <c r="T153" i="1"/>
  <c r="U153" i="1"/>
  <c r="V153" i="1"/>
  <c r="V152" i="1"/>
  <c r="T152" i="1"/>
  <c r="U152" i="1"/>
  <c r="T127" i="1"/>
  <c r="U127" i="1"/>
  <c r="V127" i="1"/>
  <c r="T138" i="1"/>
  <c r="U138" i="1"/>
  <c r="V138" i="1"/>
  <c r="T150" i="1"/>
  <c r="U150" i="1"/>
  <c r="V150" i="1"/>
  <c r="T154" i="1"/>
  <c r="U154" i="1"/>
  <c r="V154" i="1"/>
  <c r="V140" i="1"/>
  <c r="T140" i="1"/>
  <c r="U140" i="1"/>
  <c r="T135" i="1"/>
  <c r="U135" i="1"/>
  <c r="V135" i="1"/>
  <c r="V160" i="1"/>
  <c r="T160" i="1"/>
  <c r="U160" i="1"/>
  <c r="T159" i="1"/>
  <c r="U159" i="1"/>
  <c r="V159" i="1"/>
  <c r="V128" i="1"/>
  <c r="T128" i="1"/>
  <c r="U128" i="1"/>
  <c r="T151" i="1"/>
  <c r="U151" i="1"/>
  <c r="V151" i="1"/>
  <c r="T143" i="1"/>
  <c r="U143" i="1"/>
  <c r="V143" i="1"/>
  <c r="V144" i="1"/>
  <c r="U144" i="1"/>
  <c r="T144" i="1"/>
  <c r="T125" i="1"/>
  <c r="U125" i="1"/>
  <c r="V125" i="1"/>
  <c r="T149" i="1"/>
  <c r="U149" i="1"/>
  <c r="V149" i="1"/>
  <c r="U158" i="1"/>
  <c r="T158" i="1"/>
  <c r="V158" i="1"/>
  <c r="T146" i="1"/>
  <c r="U146" i="1"/>
  <c r="V146" i="1"/>
  <c r="T155" i="1"/>
  <c r="U155" i="1"/>
  <c r="V155" i="1"/>
  <c r="T139" i="1"/>
  <c r="U139" i="1"/>
  <c r="V139" i="1"/>
  <c r="V124" i="1"/>
  <c r="T124" i="1"/>
  <c r="U124" i="1"/>
  <c r="V132" i="1"/>
  <c r="T132" i="1"/>
  <c r="U132" i="1"/>
  <c r="V148" i="1"/>
  <c r="T148" i="1"/>
  <c r="U148" i="1"/>
  <c r="T134" i="1"/>
  <c r="U134" i="1"/>
  <c r="V134" i="1"/>
  <c r="T147" i="1"/>
  <c r="U147" i="1"/>
  <c r="V147" i="1"/>
  <c r="T129" i="1"/>
  <c r="U129" i="1"/>
  <c r="V129" i="1"/>
  <c r="W139" i="1" l="1"/>
  <c r="X139" i="1"/>
  <c r="W138" i="1"/>
  <c r="X138" i="1"/>
  <c r="W147" i="1"/>
  <c r="X147" i="1"/>
  <c r="W148" i="1"/>
  <c r="X148" i="1"/>
  <c r="X158" i="1"/>
  <c r="W158" i="1"/>
  <c r="W140" i="1"/>
  <c r="X140" i="1"/>
  <c r="X153" i="1"/>
  <c r="W153" i="1"/>
  <c r="W136" i="1"/>
  <c r="X136" i="1"/>
  <c r="W121" i="1"/>
  <c r="X121" i="1"/>
  <c r="W155" i="1"/>
  <c r="X155" i="1"/>
  <c r="W160" i="1"/>
  <c r="X160" i="1"/>
  <c r="W127" i="1"/>
  <c r="X127" i="1"/>
  <c r="W141" i="1"/>
  <c r="X141" i="1"/>
  <c r="X132" i="1"/>
  <c r="W132" i="1"/>
  <c r="W130" i="1"/>
  <c r="X130" i="1"/>
  <c r="X145" i="1"/>
  <c r="W145" i="1"/>
  <c r="X154" i="1"/>
  <c r="W154" i="1"/>
  <c r="X122" i="1"/>
  <c r="W122" i="1"/>
  <c r="X134" i="1"/>
  <c r="W134" i="1"/>
  <c r="W144" i="1"/>
  <c r="X144" i="1"/>
  <c r="X143" i="1"/>
  <c r="W143" i="1"/>
  <c r="W128" i="1"/>
  <c r="X128" i="1"/>
  <c r="W150" i="1"/>
  <c r="X150" i="1"/>
  <c r="X157" i="1"/>
  <c r="W157" i="1"/>
  <c r="W156" i="1"/>
  <c r="X156" i="1"/>
  <c r="X161" i="1"/>
  <c r="W161" i="1"/>
  <c r="X126" i="1"/>
  <c r="W126" i="1"/>
  <c r="X149" i="1"/>
  <c r="W149" i="1"/>
  <c r="X135" i="1"/>
  <c r="W135" i="1"/>
  <c r="W129" i="1"/>
  <c r="X129" i="1"/>
  <c r="W146" i="1"/>
  <c r="X146" i="1"/>
  <c r="W159" i="1"/>
  <c r="X159" i="1"/>
  <c r="X142" i="1"/>
  <c r="W142" i="1"/>
  <c r="W137" i="1"/>
  <c r="X137" i="1"/>
  <c r="X124" i="1"/>
  <c r="W124" i="1"/>
  <c r="W125" i="1"/>
  <c r="X125" i="1"/>
  <c r="W133" i="1"/>
  <c r="X133" i="1"/>
  <c r="W151" i="1"/>
  <c r="X151" i="1"/>
  <c r="X152" i="1"/>
  <c r="W152" i="1"/>
  <c r="W131" i="1"/>
  <c r="X131" i="1"/>
  <c r="W123" i="1"/>
  <c r="X123" i="1"/>
</calcChain>
</file>

<file path=xl/sharedStrings.xml><?xml version="1.0" encoding="utf-8"?>
<sst xmlns="http://schemas.openxmlformats.org/spreadsheetml/2006/main" count="170" uniqueCount="119">
  <si>
    <t>user input value</t>
  </si>
  <si>
    <t>calculated value</t>
  </si>
  <si>
    <t xml:space="preserve">Input Voltage </t>
  </si>
  <si>
    <t>Inductor Value</t>
  </si>
  <si>
    <t>Inductor DCR</t>
  </si>
  <si>
    <t>V</t>
  </si>
  <si>
    <t>A</t>
  </si>
  <si>
    <t>Ω</t>
  </si>
  <si>
    <t>Power Stage Calculation: Current and Voltage Ripple</t>
  </si>
  <si>
    <t>Inductor Current pk-pk Ripple</t>
  </si>
  <si>
    <t>Compensation and Bode Plot</t>
  </si>
  <si>
    <t>Freq</t>
  </si>
  <si>
    <t>ω</t>
  </si>
  <si>
    <t>s=iω</t>
  </si>
  <si>
    <t>Gvd</t>
  </si>
  <si>
    <r>
      <t>Gvd LM(</t>
    </r>
    <r>
      <rPr>
        <sz val="11"/>
        <color theme="1"/>
        <rFont val="Calibri"/>
        <family val="2"/>
      </rPr>
      <t>ω)</t>
    </r>
  </si>
  <si>
    <t>Gvd Ф(ω)</t>
  </si>
  <si>
    <t>Gvc</t>
  </si>
  <si>
    <t>Gvc LM(ω)</t>
  </si>
  <si>
    <t>Go LM(ω)</t>
  </si>
  <si>
    <t>Go Ф(ω)</t>
  </si>
  <si>
    <t>Gvc Ф(ω)</t>
  </si>
  <si>
    <t>suggested value</t>
  </si>
  <si>
    <t>Go</t>
  </si>
  <si>
    <t>Gvc-- compensation network; Gvd-- control plant; Go-- system loop</t>
  </si>
  <si>
    <t>percentage of pk-pk current</t>
  </si>
  <si>
    <t>%</t>
  </si>
  <si>
    <t>Input Voltage Ripple</t>
  </si>
  <si>
    <t>Output Voltage Ripple</t>
  </si>
  <si>
    <t>Application Paramters: Input and Output Rating</t>
  </si>
  <si>
    <t>A/us</t>
  </si>
  <si>
    <t>Load Transient Amplitude</t>
  </si>
  <si>
    <t>Load Transient Speed</t>
  </si>
  <si>
    <t>Full Load Current</t>
  </si>
  <si>
    <t>kHz</t>
  </si>
  <si>
    <t>pcs</t>
  </si>
  <si>
    <t>Output Over(Under)shoot</t>
  </si>
  <si>
    <t>PWM Ramp amplitude factor</t>
  </si>
  <si>
    <t>PWM gain</t>
  </si>
  <si>
    <t>Total Output Capacitor ESR</t>
  </si>
  <si>
    <t>Total Output Capacitor ESL</t>
  </si>
  <si>
    <t>Cout ESR zero, f_esr</t>
  </si>
  <si>
    <t>Double LC poles, f_LC</t>
  </si>
  <si>
    <t>Switching Frequency, f_sw</t>
  </si>
  <si>
    <t>LC damping rate, Q</t>
  </si>
  <si>
    <t>Target phase margin, PM</t>
  </si>
  <si>
    <t>°</t>
  </si>
  <si>
    <t>Compensation gain at f_c</t>
  </si>
  <si>
    <t>Compensation phase boost at f_c</t>
  </si>
  <si>
    <t>dB</t>
  </si>
  <si>
    <t>Compensation 2nd zero</t>
  </si>
  <si>
    <t>Compensation 1st zero</t>
  </si>
  <si>
    <t>Compensation 1st pole</t>
  </si>
  <si>
    <t>Compensation 2nd pole</t>
  </si>
  <si>
    <t>V/V</t>
  </si>
  <si>
    <t>DiffAmp gain</t>
    <phoneticPr fontId="11" type="noConversion"/>
  </si>
  <si>
    <t>R7</t>
    <phoneticPr fontId="11" type="noConversion"/>
  </si>
  <si>
    <t>R6</t>
    <phoneticPr fontId="11" type="noConversion"/>
  </si>
  <si>
    <t>R5</t>
    <phoneticPr fontId="11" type="noConversion"/>
  </si>
  <si>
    <t>C6</t>
    <phoneticPr fontId="11" type="noConversion"/>
  </si>
  <si>
    <t>C5</t>
    <phoneticPr fontId="11" type="noConversion"/>
  </si>
  <si>
    <t>C4</t>
    <phoneticPr fontId="11" type="noConversion"/>
  </si>
  <si>
    <t>uH</t>
  </si>
  <si>
    <t>uF</t>
  </si>
  <si>
    <t>mΩ</t>
  </si>
  <si>
    <t>nH</t>
  </si>
  <si>
    <t>mV</t>
  </si>
  <si>
    <t>kΩ</t>
  </si>
  <si>
    <t>nF</t>
  </si>
  <si>
    <t>pF</t>
  </si>
  <si>
    <t>PN Selection:</t>
  </si>
  <si>
    <t>Inductor:</t>
  </si>
  <si>
    <t>Input Cap:</t>
  </si>
  <si>
    <t>Inductor Value Chosen</t>
  </si>
  <si>
    <t>Output Cap:</t>
  </si>
  <si>
    <t>mVpp</t>
  </si>
  <si>
    <t>% Vin</t>
  </si>
  <si>
    <t>mVrms</t>
  </si>
  <si>
    <t xml:space="preserve">NOTE:  Input effective C - derated for applied Vin </t>
    <phoneticPr fontId="11" type="noConversion"/>
  </si>
  <si>
    <t xml:space="preserve">% of  Full Load      </t>
    <phoneticPr fontId="11" type="noConversion"/>
  </si>
  <si>
    <t>Select cross over point, f_c</t>
    <phoneticPr fontId="11" type="noConversion"/>
  </si>
  <si>
    <t>MLCC Capacitor ESR, each</t>
    <phoneticPr fontId="11" type="noConversion"/>
  </si>
  <si>
    <t>MLCC Capacitor ESL, each</t>
    <phoneticPr fontId="11" type="noConversion"/>
  </si>
  <si>
    <t>SP/Bulk Capacitor, each</t>
    <phoneticPr fontId="11" type="noConversion"/>
  </si>
  <si>
    <t>SP/Bulk Capacitor ESR, each</t>
    <phoneticPr fontId="11" type="noConversion"/>
  </si>
  <si>
    <t>SP/Bulk Capacitor ESL, each</t>
    <phoneticPr fontId="11" type="noConversion"/>
  </si>
  <si>
    <r>
      <t>Typically need greater than 45</t>
    </r>
    <r>
      <rPr>
        <sz val="11"/>
        <color theme="1"/>
        <rFont val="Calibri"/>
        <family val="2"/>
      </rPr>
      <t>°</t>
    </r>
    <phoneticPr fontId="11" type="noConversion"/>
  </si>
  <si>
    <t>mΩ</t>
    <phoneticPr fontId="11" type="noConversion"/>
  </si>
  <si>
    <t>Effective Load, R_L</t>
    <phoneticPr fontId="11" type="noConversion"/>
  </si>
  <si>
    <r>
      <t>5~10k</t>
    </r>
    <r>
      <rPr>
        <sz val="12"/>
        <color theme="1"/>
        <rFont val="Batang"/>
        <family val="1"/>
        <charset val="129"/>
      </rPr>
      <t>Ω</t>
    </r>
    <phoneticPr fontId="11" type="noConversion"/>
  </si>
  <si>
    <t>Target peak-to-peak input ripple voltage (% of Vin)</t>
  </si>
  <si>
    <t>Target peak-to-peak output ripple voltage (% of Vout)</t>
  </si>
  <si>
    <t>Typically, the ratio of inductor ripple current to full load current is 20-40%</t>
  </si>
  <si>
    <t>Can be used to size additional electrolytic input caps for further ripple smoothing</t>
  </si>
  <si>
    <t>Load Transient Overshoot/ Undershoot</t>
  </si>
  <si>
    <r>
      <t>Ou</t>
    </r>
    <r>
      <rPr>
        <b/>
        <sz val="12"/>
        <color rgb="FF0000FF"/>
        <rFont val="Times New Roman"/>
        <family val="1"/>
      </rPr>
      <t>t</t>
    </r>
    <r>
      <rPr>
        <sz val="12"/>
        <color theme="1"/>
        <rFont val="Times New Roman"/>
        <family val="1"/>
      </rPr>
      <t>put Voltage</t>
    </r>
  </si>
  <si>
    <t>Maximum Transient Overshoot</t>
  </si>
  <si>
    <t>error (Outside Limits)</t>
  </si>
  <si>
    <r>
      <t xml:space="preserve">Output Voltage </t>
    </r>
    <r>
      <rPr>
        <sz val="12"/>
        <color theme="1"/>
        <rFont val="Times New Roman"/>
        <family val="1"/>
      </rPr>
      <t>Ripple</t>
    </r>
  </si>
  <si>
    <t>FAN251040</t>
  </si>
  <si>
    <t>Total Ceramic Input Capacitance</t>
  </si>
  <si>
    <t>Input Capacitance, each</t>
  </si>
  <si>
    <t>Input Capacitor ESR, each</t>
  </si>
  <si>
    <t>Input Capacitor ESL, each</t>
  </si>
  <si>
    <t>Number Parallel Input Capacitors</t>
  </si>
  <si>
    <t>Total Input Capacitance</t>
  </si>
  <si>
    <t>Total Output Capacitance</t>
  </si>
  <si>
    <t>MLCC Capacitance, each</t>
  </si>
  <si>
    <t>Number Parallel MLCC Capacitors</t>
  </si>
  <si>
    <t>Number Parallel SP/Bulk Capacitors</t>
  </si>
  <si>
    <t>NOTE:  Input effective C - derated for applied Vout</t>
  </si>
  <si>
    <t xml:space="preserve">NOTE:  Input effective C - derated for applied Vout </t>
  </si>
  <si>
    <t>Gea</t>
  </si>
  <si>
    <t>Gea LM</t>
  </si>
  <si>
    <t>EA gain limit at f_c</t>
  </si>
  <si>
    <t>Target peak output transient voltage swing (% of Vout)</t>
  </si>
  <si>
    <t>Note: result is a general approximation</t>
  </si>
  <si>
    <t>Instantaneous full load release</t>
  </si>
  <si>
    <t>Assumes inductor ripple current is 25% of maximum Iout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</si>
</sst>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"/>
  </numFmts>
  <fonts count="3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3F3F76"/>
      <name val="Calibri"/>
      <family val="2"/>
      <scheme val="minor"/>
    </font>
    <font>
      <sz val="18"/>
      <color theme="1"/>
      <name val="Times New Roman"/>
      <family val="1"/>
    </font>
    <font>
      <sz val="12"/>
      <color rgb="FF3F3F76"/>
      <name val="Times New Roman"/>
      <family val="1"/>
    </font>
    <font>
      <sz val="11"/>
      <color theme="1"/>
      <name val="Times New Roman"/>
      <family val="1"/>
    </font>
    <font>
      <i/>
      <sz val="11"/>
      <color rgb="FF7F7F7F"/>
      <name val="Calibri"/>
      <family val="2"/>
      <scheme val="minor"/>
    </font>
    <font>
      <sz val="12"/>
      <color theme="1"/>
      <name val="Calibri"/>
      <family val="2"/>
    </font>
    <font>
      <sz val="9"/>
      <name val="Calibri"/>
      <family val="3"/>
      <charset val="134"/>
      <scheme val="minor"/>
    </font>
    <font>
      <sz val="12"/>
      <color theme="1"/>
      <name val="Batang"/>
      <family val="1"/>
      <charset val="129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Times New Roman"/>
      <family val="1"/>
    </font>
    <font>
      <strike/>
      <sz val="12"/>
      <color rgb="FF0000FF"/>
      <name val="Times New Roman"/>
      <family val="1"/>
    </font>
    <font>
      <sz val="11"/>
      <color rgb="FF00B050"/>
      <name val="Calibri"/>
      <family val="2"/>
      <scheme val="minor"/>
    </font>
    <font>
      <b/>
      <sz val="12"/>
      <color rgb="FF0000FF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rgb="FF33CC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6" borderId="1" applyNumberFormat="0" applyAlignment="0" applyProtection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1" fillId="3" borderId="0" xfId="0" applyFont="1" applyFill="1" applyBorder="1" applyAlignment="1" applyProtection="1">
      <alignment horizontal="center"/>
      <protection locked="0"/>
    </xf>
    <xf numFmtId="164" fontId="1" fillId="4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/>
    <xf numFmtId="0" fontId="3" fillId="0" borderId="0" xfId="0" applyFont="1"/>
    <xf numFmtId="11" fontId="0" fillId="0" borderId="0" xfId="0" applyNumberFormat="1"/>
    <xf numFmtId="0" fontId="6" fillId="0" borderId="0" xfId="0" applyFont="1"/>
    <xf numFmtId="0" fontId="5" fillId="6" borderId="0" xfId="1" applyBorder="1" applyAlignment="1" applyProtection="1">
      <alignment horizontal="center"/>
      <protection locked="0"/>
    </xf>
    <xf numFmtId="0" fontId="8" fillId="0" borderId="0" xfId="0" applyFont="1"/>
    <xf numFmtId="0" fontId="0" fillId="5" borderId="0" xfId="0" applyFill="1" applyBorder="1" applyAlignment="1" applyProtection="1">
      <alignment horizontal="center" wrapText="1"/>
      <protection hidden="1"/>
    </xf>
    <xf numFmtId="0" fontId="0" fillId="0" borderId="0" xfId="0"/>
    <xf numFmtId="0" fontId="9" fillId="0" borderId="0" xfId="2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7" fillId="6" borderId="0" xfId="1" applyFont="1" applyBorder="1" applyAlignment="1" applyProtection="1">
      <alignment horizontal="center"/>
      <protection hidden="1"/>
    </xf>
    <xf numFmtId="0" fontId="0" fillId="0" borderId="0" xfId="0"/>
    <xf numFmtId="9" fontId="1" fillId="3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2" fontId="1" fillId="3" borderId="0" xfId="0" applyNumberFormat="1" applyFont="1" applyFill="1" applyBorder="1" applyAlignment="1" applyProtection="1">
      <alignment horizontal="center"/>
      <protection locked="0"/>
    </xf>
    <xf numFmtId="2" fontId="3" fillId="2" borderId="0" xfId="0" applyNumberFormat="1" applyFont="1" applyFill="1" applyAlignment="1" applyProtection="1">
      <alignment horizontal="center"/>
      <protection hidden="1"/>
    </xf>
    <xf numFmtId="2" fontId="7" fillId="6" borderId="0" xfId="1" applyNumberFormat="1" applyFont="1" applyBorder="1" applyAlignment="1" applyProtection="1">
      <alignment horizontal="center"/>
      <protection hidden="1"/>
    </xf>
    <xf numFmtId="0" fontId="0" fillId="0" borderId="0" xfId="0" applyAlignment="1"/>
    <xf numFmtId="2" fontId="7" fillId="6" borderId="1" xfId="1" applyNumberFormat="1" applyFont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Fill="1" applyBorder="1" applyAlignment="1" applyProtection="1">
      <alignment horizontal="center" wrapText="1"/>
      <protection hidden="1"/>
    </xf>
    <xf numFmtId="2" fontId="1" fillId="7" borderId="0" xfId="0" applyNumberFormat="1" applyFont="1" applyFill="1" applyBorder="1" applyAlignment="1" applyProtection="1">
      <alignment horizontal="center"/>
      <protection locked="0"/>
    </xf>
    <xf numFmtId="0" fontId="1" fillId="7" borderId="0" xfId="0" applyFont="1" applyFill="1" applyBorder="1" applyAlignment="1" applyProtection="1">
      <alignment horizontal="center"/>
      <protection locked="0"/>
    </xf>
    <xf numFmtId="0" fontId="0" fillId="0" borderId="0" xfId="0"/>
    <xf numFmtId="164" fontId="7" fillId="6" borderId="0" xfId="1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7" fillId="0" borderId="0" xfId="0" applyFont="1"/>
    <xf numFmtId="0" fontId="18" fillId="0" borderId="0" xfId="0" applyFont="1"/>
    <xf numFmtId="0" fontId="21" fillId="0" borderId="0" xfId="0" applyFont="1"/>
    <xf numFmtId="2" fontId="0" fillId="0" borderId="0" xfId="0" applyNumberFormat="1"/>
    <xf numFmtId="2" fontId="3" fillId="0" borderId="0" xfId="0" applyNumberFormat="1" applyFont="1"/>
    <xf numFmtId="0" fontId="0" fillId="0" borderId="0" xfId="0" applyFill="1"/>
    <xf numFmtId="0" fontId="24" fillId="0" borderId="0" xfId="0" applyFont="1"/>
    <xf numFmtId="0" fontId="20" fillId="0" borderId="0" xfId="0" applyFont="1"/>
    <xf numFmtId="0" fontId="25" fillId="0" borderId="0" xfId="0" applyFont="1"/>
    <xf numFmtId="0" fontId="0" fillId="0" borderId="0" xfId="0"/>
    <xf numFmtId="164" fontId="1" fillId="8" borderId="0" xfId="0" applyNumberFormat="1" applyFont="1" applyFill="1" applyBorder="1" applyAlignment="1" applyProtection="1">
      <alignment horizontal="center"/>
      <protection hidden="1"/>
    </xf>
    <xf numFmtId="0" fontId="26" fillId="0" borderId="0" xfId="0" applyFont="1"/>
    <xf numFmtId="0" fontId="19" fillId="0" borderId="0" xfId="0" applyFont="1"/>
    <xf numFmtId="0" fontId="27" fillId="0" borderId="0" xfId="0" applyFont="1"/>
    <xf numFmtId="0" fontId="0" fillId="0" borderId="0" xfId="0"/>
    <xf numFmtId="0" fontId="23" fillId="0" borderId="0" xfId="0" applyFont="1"/>
    <xf numFmtId="0" fontId="28" fillId="0" borderId="0" xfId="0" applyFont="1"/>
    <xf numFmtId="0" fontId="0" fillId="0" borderId="0" xfId="0"/>
    <xf numFmtId="0" fontId="0" fillId="0" borderId="0" xfId="0"/>
    <xf numFmtId="0" fontId="26" fillId="0" borderId="0" xfId="0" applyFont="1" applyAlignment="1">
      <alignment horizontal="left" wrapText="1"/>
    </xf>
    <xf numFmtId="0" fontId="4" fillId="5" borderId="0" xfId="0" applyFont="1" applyFill="1" applyBorder="1" applyAlignment="1" applyProtection="1">
      <alignment horizontal="center" wrapText="1"/>
      <protection hidden="1"/>
    </xf>
    <xf numFmtId="0" fontId="0" fillId="5" borderId="0" xfId="0" applyFill="1" applyBorder="1" applyAlignment="1" applyProtection="1">
      <alignment horizontal="center" wrapText="1"/>
      <protection hidden="1"/>
    </xf>
    <xf numFmtId="0" fontId="9" fillId="0" borderId="0" xfId="2"/>
    <xf numFmtId="0" fontId="0" fillId="0" borderId="0" xfId="0"/>
    <xf numFmtId="0" fontId="16" fillId="0" borderId="0" xfId="0" applyFont="1" applyFill="1" applyBorder="1" applyAlignment="1" applyProtection="1">
      <alignment horizontal="left" wrapText="1"/>
      <protection hidden="1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0" fillId="0" borderId="0" xfId="0" applyProtection="1">
      <protection hidden="1"/>
    </xf>
    <xf numFmtId="2" fontId="3" fillId="2" borderId="0" xfId="0" applyNumberFormat="1" applyFont="1" applyFill="1" applyAlignment="1" applyProtection="1">
      <alignment horizontal="center"/>
      <protection locked="0"/>
    </xf>
    <xf numFmtId="0" fontId="29" fillId="0" borderId="0" xfId="0" applyFont="1" applyProtection="1">
      <protection hidden="1"/>
    </xf>
    <xf numFmtId="11" fontId="29" fillId="0" borderId="0" xfId="0" applyNumberFormat="1" applyFont="1" applyProtection="1">
      <protection hidden="1"/>
    </xf>
    <xf numFmtId="0" fontId="29" fillId="0" borderId="0" xfId="0" applyNumberFormat="1" applyFont="1" applyProtection="1">
      <protection hidden="1"/>
    </xf>
    <xf numFmtId="0" fontId="30" fillId="0" borderId="0" xfId="0" applyFont="1" applyProtection="1">
      <protection hidden="1"/>
    </xf>
  </cellXfs>
  <cellStyles count="3">
    <cellStyle name="Explanatory Text" xfId="2" builtinId="53"/>
    <cellStyle name="Input" xfId="1" builtinId="20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FFCC"/>
      <color rgb="FF33CCFF"/>
      <color rgb="FF66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Gvd Gain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Gvd Gain</c:v>
          </c:tx>
          <c:marker>
            <c:symbol val="none"/>
          </c:marker>
          <c:xVal>
            <c:numRef>
              <c:f>Front!$B$121:$B$161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Front!$F$121:$F$161</c:f>
              <c:numCache>
                <c:formatCode>0.00E+00</c:formatCode>
                <c:ptCount val="41"/>
                <c:pt idx="0">
                  <c:v>13.863432295714166</c:v>
                </c:pt>
                <c:pt idx="1">
                  <c:v>13.864412614476006</c:v>
                </c:pt>
                <c:pt idx="2">
                  <c:v>13.865966501685827</c:v>
                </c:pt>
                <c:pt idx="3">
                  <c:v>13.868429715962829</c:v>
                </c:pt>
                <c:pt idx="4">
                  <c:v>13.872334826026725</c:v>
                </c:pt>
                <c:pt idx="5">
                  <c:v>13.878526970331846</c:v>
                </c:pt>
                <c:pt idx="6">
                  <c:v>13.888348304252139</c:v>
                </c:pt>
                <c:pt idx="7">
                  <c:v>13.903932800256387</c:v>
                </c:pt>
                <c:pt idx="8">
                  <c:v>13.928679714066517</c:v>
                </c:pt>
                <c:pt idx="9">
                  <c:v>13.96801977885495</c:v>
                </c:pt>
                <c:pt idx="10">
                  <c:v>14.030669740944983</c:v>
                </c:pt>
                <c:pt idx="11">
                  <c:v>14.130723660558491</c:v>
                </c:pt>
                <c:pt idx="12">
                  <c:v>14.291234053964718</c:v>
                </c:pt>
                <c:pt idx="13">
                  <c:v>14.550588100022484</c:v>
                </c:pt>
                <c:pt idx="14">
                  <c:v>14.974484851590262</c:v>
                </c:pt>
                <c:pt idx="15">
                  <c:v>15.679945101769936</c:v>
                </c:pt>
                <c:pt idx="16">
                  <c:v>16.885596948217263</c:v>
                </c:pt>
                <c:pt idx="17">
                  <c:v>18.989956627751052</c:v>
                </c:pt>
                <c:pt idx="18">
                  <c:v>21.881186585578803</c:v>
                </c:pt>
                <c:pt idx="19">
                  <c:v>18.970999722856618</c:v>
                </c:pt>
                <c:pt idx="20">
                  <c:v>12.044913926872294</c:v>
                </c:pt>
                <c:pt idx="21">
                  <c:v>6.1670319263936513</c:v>
                </c:pt>
                <c:pt idx="22">
                  <c:v>1.0904934119072716</c:v>
                </c:pt>
                <c:pt idx="23">
                  <c:v>-3.5430893819977238</c:v>
                </c:pt>
                <c:pt idx="24">
                  <c:v>-7.925197054752072</c:v>
                </c:pt>
                <c:pt idx="25">
                  <c:v>-12.159207487437321</c:v>
                </c:pt>
                <c:pt idx="26">
                  <c:v>-16.303604104693335</c:v>
                </c:pt>
                <c:pt idx="27">
                  <c:v>-20.392631929175526</c:v>
                </c:pt>
                <c:pt idx="28">
                  <c:v>-24.446708279339298</c:v>
                </c:pt>
                <c:pt idx="29">
                  <c:v>-28.477979472922158</c:v>
                </c:pt>
                <c:pt idx="30">
                  <c:v>-32.493388392263256</c:v>
                </c:pt>
                <c:pt idx="31">
                  <c:v>-36.496352329255316</c:v>
                </c:pt>
                <c:pt idx="32">
                  <c:v>-40.487584341504402</c:v>
                </c:pt>
                <c:pt idx="33">
                  <c:v>-44.465313121287053</c:v>
                </c:pt>
                <c:pt idx="34">
                  <c:v>-48.425007276269334</c:v>
                </c:pt>
                <c:pt idx="35">
                  <c:v>-52.358633629059923</c:v>
                </c:pt>
                <c:pt idx="36">
                  <c:v>-56.253474504853443</c:v>
                </c:pt>
                <c:pt idx="37">
                  <c:v>-60.090641372791524</c:v>
                </c:pt>
                <c:pt idx="38">
                  <c:v>-63.843734618241044</c:v>
                </c:pt>
                <c:pt idx="39">
                  <c:v>-67.478657378660571</c:v>
                </c:pt>
                <c:pt idx="40">
                  <c:v>-70.956165856672783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A8-47EC-9CD1-02CE767F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647560"/>
        <c:axId val="262649128"/>
      </c:scatterChart>
      <c:valAx>
        <c:axId val="262647560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262649128"/>
        <c:crossesAt val="-60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86159733158355345"/>
                <c:y val="0.87868037328667403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262649128"/>
        <c:scaling>
          <c:orientation val="minMax"/>
          <c:max val="40"/>
          <c:min val="-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Magnitude (dB)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262647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Gvd Phase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Gvd Phase</c:v>
          </c:tx>
          <c:marker>
            <c:symbol val="none"/>
          </c:marker>
          <c:xVal>
            <c:numRef>
              <c:f>Front!$B$121:$B$161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Front!$G$121:$G$161</c:f>
              <c:numCache>
                <c:formatCode>General</c:formatCode>
                <c:ptCount val="41"/>
                <c:pt idx="0">
                  <c:v>-0.32352165726731436</c:v>
                </c:pt>
                <c:pt idx="1">
                  <c:v>-0.4073374601519662</c:v>
                </c:pt>
                <c:pt idx="2">
                  <c:v>-0.51290292932998971</c:v>
                </c:pt>
                <c:pt idx="3">
                  <c:v>-0.64589706400386493</c:v>
                </c:pt>
                <c:pt idx="4">
                  <c:v>-0.81351666035302728</c:v>
                </c:pt>
                <c:pt idx="5">
                  <c:v>-1.0249167178385967</c:v>
                </c:pt>
                <c:pt idx="6">
                  <c:v>-1.2918126602676747</c:v>
                </c:pt>
                <c:pt idx="7">
                  <c:v>-1.6293351279459505</c:v>
                </c:pt>
                <c:pt idx="8">
                  <c:v>-2.0573030868829769</c:v>
                </c:pt>
                <c:pt idx="9">
                  <c:v>-2.6022330396862823</c:v>
                </c:pt>
                <c:pt idx="10">
                  <c:v>-3.3007231275703384</c:v>
                </c:pt>
                <c:pt idx="11">
                  <c:v>-4.2055631846169126</c:v>
                </c:pt>
                <c:pt idx="12">
                  <c:v>-5.3976081656469299</c:v>
                </c:pt>
                <c:pt idx="13">
                  <c:v>-7.0108045487302375</c:v>
                </c:pt>
                <c:pt idx="14">
                  <c:v>-9.2903485459386594</c:v>
                </c:pt>
                <c:pt idx="15">
                  <c:v>-12.746254044614327</c:v>
                </c:pt>
                <c:pt idx="16">
                  <c:v>-18.637468845064266</c:v>
                </c:pt>
                <c:pt idx="17">
                  <c:v>-30.916422641360299</c:v>
                </c:pt>
                <c:pt idx="18">
                  <c:v>-64.895209232635835</c:v>
                </c:pt>
                <c:pt idx="19">
                  <c:v>-124.90732161155529</c:v>
                </c:pt>
                <c:pt idx="20">
                  <c:v>-152.01310522000287</c:v>
                </c:pt>
                <c:pt idx="21">
                  <c:v>-162.27164925216763</c:v>
                </c:pt>
                <c:pt idx="22">
                  <c:v>-167.38622420673516</c:v>
                </c:pt>
                <c:pt idx="23">
                  <c:v>-170.40067732042854</c:v>
                </c:pt>
                <c:pt idx="24">
                  <c:v>-172.33509082547189</c:v>
                </c:pt>
                <c:pt idx="25">
                  <c:v>-173.61312615477883</c:v>
                </c:pt>
                <c:pt idx="26">
                  <c:v>-174.43681808789478</c:v>
                </c:pt>
                <c:pt idx="27">
                  <c:v>-174.9100519170359</c:v>
                </c:pt>
                <c:pt idx="28">
                  <c:v>-175.08617589714601</c:v>
                </c:pt>
                <c:pt idx="29">
                  <c:v>-174.9883006185137</c:v>
                </c:pt>
                <c:pt idx="30">
                  <c:v>-174.61837508562434</c:v>
                </c:pt>
                <c:pt idx="31">
                  <c:v>-173.96115330054772</c:v>
                </c:pt>
                <c:pt idx="32">
                  <c:v>-172.98567551883363</c:v>
                </c:pt>
                <c:pt idx="33">
                  <c:v>-171.64561106951194</c:v>
                </c:pt>
                <c:pt idx="34">
                  <c:v>-169.87945320865387</c:v>
                </c:pt>
                <c:pt idx="35">
                  <c:v>-167.61172421698143</c:v>
                </c:pt>
                <c:pt idx="36">
                  <c:v>-164.75693029220685</c:v>
                </c:pt>
                <c:pt idx="37">
                  <c:v>-161.22887179541985</c:v>
                </c:pt>
                <c:pt idx="38">
                  <c:v>-156.95852847776561</c:v>
                </c:pt>
                <c:pt idx="39">
                  <c:v>-151.92259330865443</c:v>
                </c:pt>
                <c:pt idx="40">
                  <c:v>-146.17926399871209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4E-4EBC-BDD1-1171CEF0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653488"/>
        <c:axId val="270649960"/>
      </c:scatterChart>
      <c:valAx>
        <c:axId val="270653488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270649960"/>
        <c:crossesAt val="-180"/>
        <c:crossBetween val="midCat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270649960"/>
        <c:scaling>
          <c:orientation val="minMax"/>
          <c:max val="0"/>
          <c:min val="-1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Phase (deg)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2706534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Gvc Gain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2598382751604"/>
          <c:y val="0.18813203282304791"/>
          <c:w val="0.76968065640020167"/>
          <c:h val="0.59858786250102558"/>
        </c:manualLayout>
      </c:layout>
      <c:scatterChart>
        <c:scatterStyle val="smoothMarker"/>
        <c:varyColors val="0"/>
        <c:ser>
          <c:idx val="0"/>
          <c:order val="0"/>
          <c:tx>
            <c:v>Gvc Gain</c:v>
          </c:tx>
          <c:marker>
            <c:symbol val="none"/>
          </c:marker>
          <c:xVal>
            <c:numRef>
              <c:f>Front!$B$121:$B$161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Front!$I$121:$I$161</c:f>
              <c:numCache>
                <c:formatCode>General</c:formatCode>
                <c:ptCount val="41"/>
                <c:pt idx="0">
                  <c:v>29.975763542088313</c:v>
                </c:pt>
                <c:pt idx="1">
                  <c:v>27.978796504981894</c:v>
                </c:pt>
                <c:pt idx="2">
                  <c:v>25.98360080183944</c:v>
                </c:pt>
                <c:pt idx="3">
                  <c:v>23.991208515082118</c:v>
                </c:pt>
                <c:pt idx="4">
                  <c:v>22.003249431170772</c:v>
                </c:pt>
                <c:pt idx="5">
                  <c:v>20.022291724352826</c:v>
                </c:pt>
                <c:pt idx="6">
                  <c:v>18.052368705793267</c:v>
                </c:pt>
                <c:pt idx="7">
                  <c:v>16.099781301714366</c:v>
                </c:pt>
                <c:pt idx="8">
                  <c:v>14.174291642893934</c:v>
                </c:pt>
                <c:pt idx="9">
                  <c:v>12.290829694433672</c:v>
                </c:pt>
                <c:pt idx="10">
                  <c:v>10.471775256801759</c:v>
                </c:pt>
                <c:pt idx="11">
                  <c:v>8.7496599054011437</c:v>
                </c:pt>
                <c:pt idx="12">
                  <c:v>7.1696320595440266</c:v>
                </c:pt>
                <c:pt idx="13">
                  <c:v>5.79021064004362</c:v>
                </c:pt>
                <c:pt idx="14">
                  <c:v>4.6801072124809897</c:v>
                </c:pt>
                <c:pt idx="15">
                  <c:v>3.9093076774927953</c:v>
                </c:pt>
                <c:pt idx="16">
                  <c:v>3.5352081951324612</c:v>
                </c:pt>
                <c:pt idx="17">
                  <c:v>3.5883584491887879</c:v>
                </c:pt>
                <c:pt idx="18">
                  <c:v>4.0639938180017223</c:v>
                </c:pt>
                <c:pt idx="19">
                  <c:v>4.9232778415772334</c:v>
                </c:pt>
                <c:pt idx="20">
                  <c:v>6.1036430949823162</c:v>
                </c:pt>
                <c:pt idx="21">
                  <c:v>7.5334079836245067</c:v>
                </c:pt>
                <c:pt idx="22">
                  <c:v>9.1445076415059461</c:v>
                </c:pt>
                <c:pt idx="23">
                  <c:v>10.879630380029379</c:v>
                </c:pt>
                <c:pt idx="24">
                  <c:v>12.693765620991527</c:v>
                </c:pt>
                <c:pt idx="25">
                  <c:v>14.552180580422716</c:v>
                </c:pt>
                <c:pt idx="26">
                  <c:v>16.426806200384693</c:v>
                </c:pt>
                <c:pt idx="27">
                  <c:v>18.29214778809736</c:v>
                </c:pt>
                <c:pt idx="28">
                  <c:v>20.121088808794735</c:v>
                </c:pt>
                <c:pt idx="29">
                  <c:v>21.880636011911641</c:v>
                </c:pt>
                <c:pt idx="30">
                  <c:v>23.527804521706386</c:v>
                </c:pt>
                <c:pt idx="31">
                  <c:v>25.006496207082634</c:v>
                </c:pt>
                <c:pt idx="32">
                  <c:v>26.247304230508007</c:v>
                </c:pt>
                <c:pt idx="33">
                  <c:v>27.173024715343104</c:v>
                </c:pt>
                <c:pt idx="34">
                  <c:v>27.711672132795407</c:v>
                </c:pt>
                <c:pt idx="35">
                  <c:v>27.814573303407663</c:v>
                </c:pt>
                <c:pt idx="36">
                  <c:v>27.471575761236473</c:v>
                </c:pt>
                <c:pt idx="37">
                  <c:v>26.714418146446363</c:v>
                </c:pt>
                <c:pt idx="38">
                  <c:v>25.606042344778839</c:v>
                </c:pt>
                <c:pt idx="39">
                  <c:v>24.222485218949142</c:v>
                </c:pt>
                <c:pt idx="40">
                  <c:v>22.636678719034652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D1-42E9-9A96-5F83BD554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651920"/>
        <c:axId val="270650352"/>
      </c:scatterChart>
      <c:valAx>
        <c:axId val="270651920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low"/>
        <c:crossAx val="270650352"/>
        <c:crosses val="autoZero"/>
        <c:crossBetween val="midCat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270650352"/>
        <c:scaling>
          <c:orientation val="minMax"/>
          <c:max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Magnitude (dB)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0651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Gvc Phase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Gvc Phase</c:v>
          </c:tx>
          <c:marker>
            <c:symbol val="none"/>
          </c:marker>
          <c:xVal>
            <c:numRef>
              <c:f>Front!$B$121:$B$161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Front!$J$121:$J$161</c:f>
              <c:numCache>
                <c:formatCode>General</c:formatCode>
                <c:ptCount val="41"/>
                <c:pt idx="0">
                  <c:v>-87.317355058512518</c:v>
                </c:pt>
                <c:pt idx="1">
                  <c:v>-86.623193491661411</c:v>
                </c:pt>
                <c:pt idx="2">
                  <c:v>-85.749736516370007</c:v>
                </c:pt>
                <c:pt idx="3">
                  <c:v>-84.650997236541613</c:v>
                </c:pt>
                <c:pt idx="4">
                  <c:v>-83.269513883450927</c:v>
                </c:pt>
                <c:pt idx="5">
                  <c:v>-81.533802791482998</c:v>
                </c:pt>
                <c:pt idx="6">
                  <c:v>-79.355560919991049</c:v>
                </c:pt>
                <c:pt idx="7">
                  <c:v>-76.626932764731649</c:v>
                </c:pt>
                <c:pt idx="8">
                  <c:v>-73.218559936362198</c:v>
                </c:pt>
                <c:pt idx="9">
                  <c:v>-68.979851207161261</c:v>
                </c:pt>
                <c:pt idx="10">
                  <c:v>-63.744047594005025</c:v>
                </c:pt>
                <c:pt idx="11">
                  <c:v>-57.342087326392836</c:v>
                </c:pt>
                <c:pt idx="12">
                  <c:v>-49.630157640889017</c:v>
                </c:pt>
                <c:pt idx="13">
                  <c:v>-40.53393794097024</c:v>
                </c:pt>
                <c:pt idx="14">
                  <c:v>-30.104704140858242</c:v>
                </c:pt>
                <c:pt idx="15">
                  <c:v>-18.568517318928563</c:v>
                </c:pt>
                <c:pt idx="16">
                  <c:v>-6.3390506485947187</c:v>
                </c:pt>
                <c:pt idx="17">
                  <c:v>6.0272475837635211</c:v>
                </c:pt>
                <c:pt idx="18">
                  <c:v>17.92678495793653</c:v>
                </c:pt>
                <c:pt idx="19">
                  <c:v>28.820678863572443</c:v>
                </c:pt>
                <c:pt idx="20">
                  <c:v>38.319516705759483</c:v>
                </c:pt>
                <c:pt idx="21">
                  <c:v>46.212053226818988</c:v>
                </c:pt>
                <c:pt idx="22">
                  <c:v>52.438979375776597</c:v>
                </c:pt>
                <c:pt idx="23">
                  <c:v>57.037391811540211</c:v>
                </c:pt>
                <c:pt idx="24">
                  <c:v>60.084000914593233</c:v>
                </c:pt>
                <c:pt idx="25">
                  <c:v>61.652281213352047</c:v>
                </c:pt>
                <c:pt idx="26">
                  <c:v>61.786203144838716</c:v>
                </c:pt>
                <c:pt idx="27">
                  <c:v>60.487617755751288</c:v>
                </c:pt>
                <c:pt idx="28">
                  <c:v>57.714396090056006</c:v>
                </c:pt>
                <c:pt idx="29">
                  <c:v>53.389016026511179</c:v>
                </c:pt>
                <c:pt idx="30">
                  <c:v>47.420367958341082</c:v>
                </c:pt>
                <c:pt idx="31">
                  <c:v>39.743254328803168</c:v>
                </c:pt>
                <c:pt idx="32">
                  <c:v>30.377230518207885</c:v>
                </c:pt>
                <c:pt idx="33">
                  <c:v>19.495007422484157</c:v>
                </c:pt>
                <c:pt idx="34">
                  <c:v>7.4714283901206322</c:v>
                </c:pt>
                <c:pt idx="35">
                  <c:v>-5.1278108871363095</c:v>
                </c:pt>
                <c:pt idx="36">
                  <c:v>-17.638616304037264</c:v>
                </c:pt>
                <c:pt idx="37">
                  <c:v>-29.441312073254178</c:v>
                </c:pt>
                <c:pt idx="38">
                  <c:v>-40.083959187849494</c:v>
                </c:pt>
                <c:pt idx="39">
                  <c:v>-49.332192728413375</c:v>
                </c:pt>
                <c:pt idx="40">
                  <c:v>-57.144665534912853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A5-4298-A3C2-9AFBA2A63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648784"/>
        <c:axId val="270653880"/>
      </c:scatterChart>
      <c:valAx>
        <c:axId val="270648784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270653880"/>
        <c:crossesAt val="-100"/>
        <c:crossBetween val="midCat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270653880"/>
        <c:scaling>
          <c:orientation val="minMax"/>
          <c:max val="80"/>
          <c:min val="-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Phase</a:t>
                </a:r>
                <a:r>
                  <a:rPr lang="en-US" b="0" baseline="0">
                    <a:latin typeface="Times New Roman" pitchFamily="18" charset="0"/>
                    <a:cs typeface="Times New Roman" pitchFamily="18" charset="0"/>
                  </a:rPr>
                  <a:t> (deg)</a:t>
                </a:r>
                <a:endParaRPr lang="en-US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0648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System Loop Gain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557413074511413E-2"/>
          <c:y val="0.10045316545339283"/>
          <c:w val="0.86311290219379477"/>
          <c:h val="0.78523498410869752"/>
        </c:manualLayout>
      </c:layout>
      <c:scatterChart>
        <c:scatterStyle val="smoothMarker"/>
        <c:varyColors val="0"/>
        <c:ser>
          <c:idx val="0"/>
          <c:order val="0"/>
          <c:tx>
            <c:v>Actual Loop Gain</c:v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Front!$B$121:$B$161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Front!$L$121:$L$161</c:f>
              <c:numCache>
                <c:formatCode>0.00E+00</c:formatCode>
                <c:ptCount val="41"/>
                <c:pt idx="0">
                  <c:v>43.839195837802492</c:v>
                </c:pt>
                <c:pt idx="1">
                  <c:v>41.843209119457931</c:v>
                </c:pt>
                <c:pt idx="2">
                  <c:v>39.849567303525269</c:v>
                </c:pt>
                <c:pt idx="3">
                  <c:v>37.85963823104494</c:v>
                </c:pt>
                <c:pt idx="4">
                  <c:v>35.875584257197502</c:v>
                </c:pt>
                <c:pt idx="5">
                  <c:v>33.900818694684681</c:v>
                </c:pt>
                <c:pt idx="6">
                  <c:v>31.940717010045418</c:v>
                </c:pt>
                <c:pt idx="7">
                  <c:v>30.003714101970751</c:v>
                </c:pt>
                <c:pt idx="8">
                  <c:v>28.102971356960452</c:v>
                </c:pt>
                <c:pt idx="9">
                  <c:v>26.258849473288631</c:v>
                </c:pt>
                <c:pt idx="10">
                  <c:v>24.50244499774676</c:v>
                </c:pt>
                <c:pt idx="11">
                  <c:v>22.880383565959658</c:v>
                </c:pt>
                <c:pt idx="12">
                  <c:v>21.460866113508743</c:v>
                </c:pt>
                <c:pt idx="13">
                  <c:v>20.340798740066106</c:v>
                </c:pt>
                <c:pt idx="14">
                  <c:v>19.654592064071245</c:v>
                </c:pt>
                <c:pt idx="15">
                  <c:v>19.589252779262729</c:v>
                </c:pt>
                <c:pt idx="16">
                  <c:v>20.420805143349725</c:v>
                </c:pt>
                <c:pt idx="17">
                  <c:v>22.578315076939827</c:v>
                </c:pt>
                <c:pt idx="18">
                  <c:v>25.945180403580515</c:v>
                </c:pt>
                <c:pt idx="19">
                  <c:v>23.894277564433853</c:v>
                </c:pt>
                <c:pt idx="20">
                  <c:v>18.148557021854614</c:v>
                </c:pt>
                <c:pt idx="21">
                  <c:v>13.700439910018167</c:v>
                </c:pt>
                <c:pt idx="22">
                  <c:v>10.235001053413214</c:v>
                </c:pt>
                <c:pt idx="23">
                  <c:v>7.336540998031662</c:v>
                </c:pt>
                <c:pt idx="24">
                  <c:v>4.7685685662394706</c:v>
                </c:pt>
                <c:pt idx="25">
                  <c:v>2.3929730929853936</c:v>
                </c:pt>
                <c:pt idx="26">
                  <c:v>0.12320209569136001</c:v>
                </c:pt>
                <c:pt idx="27">
                  <c:v>-2.1004841410781636</c:v>
                </c:pt>
                <c:pt idx="28">
                  <c:v>-4.3256194705445745</c:v>
                </c:pt>
                <c:pt idx="29">
                  <c:v>-6.5973434610105155</c:v>
                </c:pt>
                <c:pt idx="30">
                  <c:v>-8.9655838705568716</c:v>
                </c:pt>
                <c:pt idx="31">
                  <c:v>-11.489856122172684</c:v>
                </c:pt>
                <c:pt idx="32">
                  <c:v>-14.240280110996416</c:v>
                </c:pt>
                <c:pt idx="33">
                  <c:v>-17.292288405943928</c:v>
                </c:pt>
                <c:pt idx="34">
                  <c:v>-20.713335143473923</c:v>
                </c:pt>
                <c:pt idx="35">
                  <c:v>-24.544060325652268</c:v>
                </c:pt>
                <c:pt idx="36">
                  <c:v>-28.781898743616978</c:v>
                </c:pt>
                <c:pt idx="37">
                  <c:v>-33.376223226345154</c:v>
                </c:pt>
                <c:pt idx="38">
                  <c:v>-38.237692273462237</c:v>
                </c:pt>
                <c:pt idx="39">
                  <c:v>-43.256172159711433</c:v>
                </c:pt>
                <c:pt idx="40">
                  <c:v>-48.319487137638134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92-449C-A24F-F8C79F8C7F79}"/>
            </c:ext>
          </c:extLst>
        </c:ser>
        <c:ser>
          <c:idx val="1"/>
          <c:order val="1"/>
          <c:tx>
            <c:v>Recommended Loop Gain</c:v>
          </c:tx>
          <c:spPr>
            <a:ln w="28575" cap="rnd" cmpd="sng" algn="ctr">
              <a:solidFill>
                <a:srgbClr val="33CCFF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Front!$B$121:$B$161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Front!$W$121:$W$161</c:f>
              <c:numCache>
                <c:formatCode>0.00E+00</c:formatCode>
                <c:ptCount val="41"/>
                <c:pt idx="0">
                  <c:v>39.388352374560263</c:v>
                </c:pt>
                <c:pt idx="1">
                  <c:v>37.396050340930181</c:v>
                </c:pt>
                <c:pt idx="2">
                  <c:v>35.408234337450793</c:v>
                </c:pt>
                <c:pt idx="3">
                  <c:v>33.427503518575882</c:v>
                </c:pt>
                <c:pt idx="4">
                  <c:v>31.457940487145159</c:v>
                </c:pt>
                <c:pt idx="5">
                  <c:v>29.505924966588886</c:v>
                </c:pt>
                <c:pt idx="6">
                  <c:v>27.581346407859332</c:v>
                </c:pt>
                <c:pt idx="7">
                  <c:v>25.699345414215109</c:v>
                </c:pt>
                <c:pt idx="8">
                  <c:v>23.882667529948453</c:v>
                </c:pt>
                <c:pt idx="9">
                  <c:v>22.164536103989168</c:v>
                </c:pt>
                <c:pt idx="10">
                  <c:v>20.591571826770437</c:v>
                </c:pt>
                <c:pt idx="11">
                  <c:v>19.225799287816628</c:v>
                </c:pt>
                <c:pt idx="12">
                  <c:v>18.144789290920823</c:v>
                </c:pt>
                <c:pt idx="13">
                  <c:v>17.440736644291608</c:v>
                </c:pt>
                <c:pt idx="14">
                  <c:v>17.223602294100903</c:v>
                </c:pt>
                <c:pt idx="15">
                  <c:v>17.639156991756536</c:v>
                </c:pt>
                <c:pt idx="16">
                  <c:v>18.918282510318704</c:v>
                </c:pt>
                <c:pt idx="17">
                  <c:v>21.456381930569538</c:v>
                </c:pt>
                <c:pt idx="18">
                  <c:v>25.122715872591264</c:v>
                </c:pt>
                <c:pt idx="19">
                  <c:v>23.293449857961779</c:v>
                </c:pt>
                <c:pt idx="20">
                  <c:v>17.70479529031882</c:v>
                </c:pt>
                <c:pt idx="21">
                  <c:v>13.365372233918622</c:v>
                </c:pt>
                <c:pt idx="22">
                  <c:v>9.9752876854049219</c:v>
                </c:pt>
                <c:pt idx="23">
                  <c:v>7.1312962231727992</c:v>
                </c:pt>
                <c:pt idx="24">
                  <c:v>4.6069826558043214</c:v>
                </c:pt>
                <c:pt idx="25">
                  <c:v>2.2728770301549739</c:v>
                </c:pt>
                <c:pt idx="26">
                  <c:v>5.0872577734301684E-2</c:v>
                </c:pt>
                <c:pt idx="27">
                  <c:v>-2.1091270606924715</c:v>
                </c:pt>
                <c:pt idx="28">
                  <c:v>-4.242294880691964</c:v>
                </c:pt>
                <c:pt idx="29">
                  <c:v>-6.3771370050407619</c:v>
                </c:pt>
                <c:pt idx="30">
                  <c:v>-8.5414816873039019</c:v>
                </c:pt>
                <c:pt idx="31">
                  <c:v>-10.767454172071941</c:v>
                </c:pt>
                <c:pt idx="32">
                  <c:v>-13.095826858863491</c:v>
                </c:pt>
                <c:pt idx="33">
                  <c:v>-15.579164087163665</c:v>
                </c:pt>
                <c:pt idx="34">
                  <c:v>-18.281892021077017</c:v>
                </c:pt>
                <c:pt idx="35">
                  <c:v>-21.274281158228611</c:v>
                </c:pt>
                <c:pt idx="36">
                  <c:v>-24.617986427423858</c:v>
                </c:pt>
                <c:pt idx="37">
                  <c:v>-28.345236237469841</c:v>
                </c:pt>
                <c:pt idx="38">
                  <c:v>-32.440644204679948</c:v>
                </c:pt>
                <c:pt idx="39">
                  <c:v>-36.837056753012618</c:v>
                </c:pt>
                <c:pt idx="40">
                  <c:v>-41.429777641726666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EF-4708-A50C-F3B082B5F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646824"/>
        <c:axId val="270647216"/>
      </c:scatterChart>
      <c:valAx>
        <c:axId val="270646824"/>
        <c:scaling>
          <c:logBase val="10"/>
          <c:orientation val="minMax"/>
          <c:max val="100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Frequency (kHz)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270647216"/>
        <c:crossesAt val="-40"/>
        <c:crossBetween val="midCat"/>
        <c:dispUnits>
          <c:builtInUnit val="thousands"/>
        </c:dispUnits>
      </c:valAx>
      <c:valAx>
        <c:axId val="270647216"/>
        <c:scaling>
          <c:orientation val="minMax"/>
          <c:max val="6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Magnitude (dB)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endParaRPr lang="en-US"/>
          </a:p>
        </c:txPr>
        <c:crossAx val="270646824"/>
        <c:crosses val="autoZero"/>
        <c:crossBetween val="midCat"/>
      </c:valAx>
      <c:spPr>
        <a:solidFill>
          <a:schemeClr val="bg1"/>
        </a:solidFill>
        <a:ln w="254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2839338611366999"/>
          <c:y val="0.11933201940897482"/>
          <c:w val="0.20728731634511371"/>
          <c:h val="7.6248507598572768E-2"/>
        </c:manualLayout>
      </c:layout>
      <c:overlay val="0"/>
      <c:spPr>
        <a:solidFill>
          <a:schemeClr val="bg1"/>
        </a:solidFill>
        <a:ln w="12700">
          <a:solidFill>
            <a:srgbClr val="33CC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Times New Roman" pitchFamily="18" charset="0"/>
              <a:ea typeface="+mn-ea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System Loop Phase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858042275826411E-2"/>
          <c:y val="0.10049378808446074"/>
          <c:w val="0.85219821228144554"/>
          <c:h val="0.78514813448113763"/>
        </c:manualLayout>
      </c:layout>
      <c:scatterChart>
        <c:scatterStyle val="smoothMarker"/>
        <c:varyColors val="0"/>
        <c:ser>
          <c:idx val="0"/>
          <c:order val="0"/>
          <c:tx>
            <c:v>Actual Loop Phase</c:v>
          </c:tx>
          <c:marker>
            <c:symbol val="none"/>
          </c:marker>
          <c:xVal>
            <c:numRef>
              <c:f>Front!$B$121:$B$161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Front!$M$121:$M$161</c:f>
              <c:numCache>
                <c:formatCode>General</c:formatCode>
                <c:ptCount val="41"/>
                <c:pt idx="0">
                  <c:v>92.359123284220175</c:v>
                </c:pt>
                <c:pt idx="1">
                  <c:v>92.969469048186625</c:v>
                </c:pt>
                <c:pt idx="2">
                  <c:v>93.737360554300011</c:v>
                </c:pt>
                <c:pt idx="3">
                  <c:v>94.703105699454525</c:v>
                </c:pt>
                <c:pt idx="4">
                  <c:v>95.916969456196028</c:v>
                </c:pt>
                <c:pt idx="5">
                  <c:v>97.441280490678395</c:v>
                </c:pt>
                <c:pt idx="6">
                  <c:v>99.35262641974127</c:v>
                </c:pt>
                <c:pt idx="7">
                  <c:v>101.74373210732239</c:v>
                </c:pt>
                <c:pt idx="8">
                  <c:v>104.72413697675482</c:v>
                </c:pt>
                <c:pt idx="9">
                  <c:v>108.41791575315246</c:v>
                </c:pt>
                <c:pt idx="10">
                  <c:v>112.95522927842458</c:v>
                </c:pt>
                <c:pt idx="11">
                  <c:v>118.45234948899017</c:v>
                </c:pt>
                <c:pt idx="12">
                  <c:v>124.97223419346406</c:v>
                </c:pt>
                <c:pt idx="13">
                  <c:v>132.45525751029953</c:v>
                </c:pt>
                <c:pt idx="14">
                  <c:v>140.60494731320307</c:v>
                </c:pt>
                <c:pt idx="15">
                  <c:v>148.68522863645714</c:v>
                </c:pt>
                <c:pt idx="16">
                  <c:v>155.02348050634103</c:v>
                </c:pt>
                <c:pt idx="17">
                  <c:v>155.11082494240318</c:v>
                </c:pt>
                <c:pt idx="18">
                  <c:v>133.03157572530077</c:v>
                </c:pt>
                <c:pt idx="19">
                  <c:v>83.913357252017164</c:v>
                </c:pt>
                <c:pt idx="20">
                  <c:v>66.30641148575657</c:v>
                </c:pt>
                <c:pt idx="21">
                  <c:v>63.940403974651389</c:v>
                </c:pt>
                <c:pt idx="22">
                  <c:v>65.052755169041404</c:v>
                </c:pt>
                <c:pt idx="23">
                  <c:v>66.636714491111704</c:v>
                </c:pt>
                <c:pt idx="24">
                  <c:v>67.748910089121409</c:v>
                </c:pt>
                <c:pt idx="25">
                  <c:v>68.039155058573229</c:v>
                </c:pt>
                <c:pt idx="26">
                  <c:v>67.34938505694393</c:v>
                </c:pt>
                <c:pt idx="27">
                  <c:v>65.577565838715401</c:v>
                </c:pt>
                <c:pt idx="28">
                  <c:v>62.628220192910007</c:v>
                </c:pt>
                <c:pt idx="29">
                  <c:v>58.400715407997467</c:v>
                </c:pt>
                <c:pt idx="30">
                  <c:v>52.801992872716809</c:v>
                </c:pt>
                <c:pt idx="31">
                  <c:v>45.782101028255511</c:v>
                </c:pt>
                <c:pt idx="32">
                  <c:v>37.391554999374364</c:v>
                </c:pt>
                <c:pt idx="33">
                  <c:v>27.849396352972121</c:v>
                </c:pt>
                <c:pt idx="34">
                  <c:v>17.591975181466722</c:v>
                </c:pt>
                <c:pt idx="35">
                  <c:v>7.2604648958822793</c:v>
                </c:pt>
                <c:pt idx="36">
                  <c:v>357.60445340375588</c:v>
                </c:pt>
                <c:pt idx="37">
                  <c:v>349.32981613132597</c:v>
                </c:pt>
                <c:pt idx="38">
                  <c:v>342.95751233438483</c:v>
                </c:pt>
                <c:pt idx="39">
                  <c:v>338.74521396293221</c:v>
                </c:pt>
                <c:pt idx="40">
                  <c:v>336.67607046637511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94-40D9-A223-3E4DBFA3085E}"/>
            </c:ext>
          </c:extLst>
        </c:ser>
        <c:ser>
          <c:idx val="1"/>
          <c:order val="1"/>
          <c:tx>
            <c:v>Recommended Loop Phase</c:v>
          </c:tx>
          <c:spPr>
            <a:ln>
              <a:solidFill>
                <a:srgbClr val="33CCFF"/>
              </a:solidFill>
              <a:prstDash val="sysDash"/>
            </a:ln>
          </c:spPr>
          <c:marker>
            <c:symbol val="none"/>
          </c:marker>
          <c:xVal>
            <c:numRef>
              <c:f>Front!$B$121:$B$161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Front!$X$121:$X$161</c:f>
              <c:numCache>
                <c:formatCode>General</c:formatCode>
                <c:ptCount val="41"/>
                <c:pt idx="0">
                  <c:v>93.448478632319834</c:v>
                </c:pt>
                <c:pt idx="1">
                  <c:v>94.339675730650328</c:v>
                </c:pt>
                <c:pt idx="2">
                  <c:v>95.459939414564076</c:v>
                </c:pt>
                <c:pt idx="3">
                  <c:v>96.866916014311229</c:v>
                </c:pt>
                <c:pt idx="4">
                  <c:v>98.6315512469981</c:v>
                </c:pt>
                <c:pt idx="5">
                  <c:v>100.83997852986826</c:v>
                </c:pt>
                <c:pt idx="6">
                  <c:v>103.59448007369066</c:v>
                </c:pt>
                <c:pt idx="7">
                  <c:v>107.01213273490661</c:v>
                </c:pt>
                <c:pt idx="8">
                  <c:v>111.21872996392005</c:v>
                </c:pt>
                <c:pt idx="9">
                  <c:v>116.33438692910732</c:v>
                </c:pt>
                <c:pt idx="10">
                  <c:v>122.44676215048251</c:v>
                </c:pt>
                <c:pt idx="11">
                  <c:v>129.56997996886489</c:v>
                </c:pt>
                <c:pt idx="12">
                  <c:v>137.59372994023821</c:v>
                </c:pt>
                <c:pt idx="13">
                  <c:v>146.23333065452132</c:v>
                </c:pt>
                <c:pt idx="14">
                  <c:v>154.97973156364833</c:v>
                </c:pt>
                <c:pt idx="15">
                  <c:v>162.98543461754437</c:v>
                </c:pt>
                <c:pt idx="16">
                  <c:v>168.62347029726135</c:v>
                </c:pt>
                <c:pt idx="17">
                  <c:v>167.56676582533524</c:v>
                </c:pt>
                <c:pt idx="18">
                  <c:v>144.13776855308757</c:v>
                </c:pt>
                <c:pt idx="19">
                  <c:v>93.678808758078077</c:v>
                </c:pt>
                <c:pt idx="20">
                  <c:v>74.891734834534432</c:v>
                </c:pt>
                <c:pt idx="21">
                  <c:v>71.594205257919413</c:v>
                </c:pt>
                <c:pt idx="22">
                  <c:v>72.066439313327123</c:v>
                </c:pt>
                <c:pt idx="23">
                  <c:v>73.320008255298632</c:v>
                </c:pt>
                <c:pt idx="24">
                  <c:v>74.421223136908182</c:v>
                </c:pt>
                <c:pt idx="25">
                  <c:v>75.030808250032038</c:v>
                </c:pt>
                <c:pt idx="26">
                  <c:v>75.007718637377153</c:v>
                </c:pt>
                <c:pt idx="27">
                  <c:v>74.273759823435668</c:v>
                </c:pt>
                <c:pt idx="28">
                  <c:v>72.76038776243216</c:v>
                </c:pt>
                <c:pt idx="29">
                  <c:v>70.387169809894459</c:v>
                </c:pt>
                <c:pt idx="30">
                  <c:v>67.055811323134805</c:v>
                </c:pt>
                <c:pt idx="31">
                  <c:v>62.655885689894944</c:v>
                </c:pt>
                <c:pt idx="32">
                  <c:v>57.084222200533731</c:v>
                </c:pt>
                <c:pt idx="33">
                  <c:v>50.282558511723153</c:v>
                </c:pt>
                <c:pt idx="34">
                  <c:v>42.295868744929038</c:v>
                </c:pt>
                <c:pt idx="35">
                  <c:v>33.342343848596244</c:v>
                </c:pt>
                <c:pt idx="36">
                  <c:v>23.864317630227134</c:v>
                </c:pt>
                <c:pt idx="37">
                  <c:v>14.512011356118734</c:v>
                </c:pt>
                <c:pt idx="38">
                  <c:v>6.0291729790383499</c:v>
                </c:pt>
                <c:pt idx="39">
                  <c:v>359.06996348952612</c:v>
                </c:pt>
                <c:pt idx="40">
                  <c:v>354.03026861924536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B5-4EDE-A8AC-DD68E5EBE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652704"/>
        <c:axId val="270653096"/>
      </c:scatterChart>
      <c:valAx>
        <c:axId val="270652704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Frequency (kHz)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70653096"/>
        <c:crossesAt val="-180"/>
        <c:crossBetween val="midCat"/>
        <c:dispUnits>
          <c:builtInUnit val="thousands"/>
        </c:dispUnits>
      </c:valAx>
      <c:valAx>
        <c:axId val="270653096"/>
        <c:scaling>
          <c:orientation val="minMax"/>
          <c:max val="18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Phase (deg)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0652704"/>
        <c:crosses val="autoZero"/>
        <c:crossBetween val="midCat"/>
      </c:valAx>
      <c:spPr>
        <a:noFill/>
        <a:ln w="25400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2304011545901858"/>
          <c:y val="0.11970326928043286"/>
          <c:w val="0.21367006284794191"/>
          <c:h val="7.5905523351575313E-2"/>
        </c:manualLayout>
      </c:layout>
      <c:overlay val="0"/>
      <c:spPr>
        <a:solidFill>
          <a:schemeClr val="bg1"/>
        </a:solidFill>
        <a:ln w="12700">
          <a:solidFill>
            <a:srgbClr val="33CCFF"/>
          </a:solidFill>
        </a:ln>
      </c:spPr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22417</xdr:colOff>
      <xdr:row>119</xdr:row>
      <xdr:rowOff>43142</xdr:rowOff>
    </xdr:from>
    <xdr:to>
      <xdr:col>21</xdr:col>
      <xdr:colOff>358594</xdr:colOff>
      <xdr:row>133</xdr:row>
      <xdr:rowOff>108137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22411</xdr:colOff>
      <xdr:row>133</xdr:row>
      <xdr:rowOff>114299</xdr:rowOff>
    </xdr:from>
    <xdr:to>
      <xdr:col>21</xdr:col>
      <xdr:colOff>358588</xdr:colOff>
      <xdr:row>147</xdr:row>
      <xdr:rowOff>190499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353417</xdr:colOff>
      <xdr:row>119</xdr:row>
      <xdr:rowOff>44825</xdr:rowOff>
    </xdr:from>
    <xdr:to>
      <xdr:col>28</xdr:col>
      <xdr:colOff>476681</xdr:colOff>
      <xdr:row>133</xdr:row>
      <xdr:rowOff>109819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359019</xdr:colOff>
      <xdr:row>133</xdr:row>
      <xdr:rowOff>116497</xdr:rowOff>
    </xdr:from>
    <xdr:to>
      <xdr:col>28</xdr:col>
      <xdr:colOff>482283</xdr:colOff>
      <xdr:row>148</xdr:row>
      <xdr:rowOff>2197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144156</xdr:colOff>
      <xdr:row>119</xdr:row>
      <xdr:rowOff>32658</xdr:rowOff>
    </xdr:from>
    <xdr:to>
      <xdr:col>13</xdr:col>
      <xdr:colOff>22412</xdr:colOff>
      <xdr:row>148</xdr:row>
      <xdr:rowOff>145678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141917</xdr:colOff>
      <xdr:row>148</xdr:row>
      <xdr:rowOff>150396</xdr:rowOff>
    </xdr:from>
    <xdr:to>
      <xdr:col>13</xdr:col>
      <xdr:colOff>22412</xdr:colOff>
      <xdr:row>178</xdr:row>
      <xdr:rowOff>89646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22413</xdr:colOff>
      <xdr:row>0</xdr:row>
      <xdr:rowOff>33617</xdr:rowOff>
    </xdr:from>
    <xdr:to>
      <xdr:col>1</xdr:col>
      <xdr:colOff>677397</xdr:colOff>
      <xdr:row>5</xdr:row>
      <xdr:rowOff>605117</xdr:rowOff>
    </xdr:to>
    <xdr:pic>
      <xdr:nvPicPr>
        <xdr:cNvPr id="16" name="Picture 15" descr="on_logo_jpg.bmp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2413" y="33617"/>
          <a:ext cx="1524000" cy="1524000"/>
        </a:xfrm>
        <a:prstGeom prst="rect">
          <a:avLst/>
        </a:prstGeom>
      </xdr:spPr>
    </xdr:pic>
    <xdr:clientData/>
  </xdr:twoCellAnchor>
  <xdr:twoCellAnchor>
    <xdr:from>
      <xdr:col>2</xdr:col>
      <xdr:colOff>392206</xdr:colOff>
      <xdr:row>0</xdr:row>
      <xdr:rowOff>0</xdr:rowOff>
    </xdr:from>
    <xdr:to>
      <xdr:col>12</xdr:col>
      <xdr:colOff>11206</xdr:colOff>
      <xdr:row>6</xdr:row>
      <xdr:rowOff>0</xdr:rowOff>
    </xdr:to>
    <xdr:sp macro="" textlink="">
      <xdr:nvSpPr>
        <xdr:cNvPr id="17" name="TextBox 16"/>
        <xdr:cNvSpPr txBox="1"/>
      </xdr:nvSpPr>
      <xdr:spPr>
        <a:xfrm>
          <a:off x="1613647" y="0"/>
          <a:ext cx="5423647" cy="1748118"/>
        </a:xfrm>
        <a:prstGeom prst="rect">
          <a:avLst/>
        </a:prstGeom>
        <a:solidFill>
          <a:srgbClr val="00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2400" b="1">
              <a:latin typeface="Times New Roman" pitchFamily="18" charset="0"/>
              <a:cs typeface="Times New Roman" pitchFamily="18" charset="0"/>
            </a:rPr>
            <a:t>FAN251015/30/40 Design Aid Version 1.3</a:t>
          </a:r>
        </a:p>
      </xdr:txBody>
    </xdr:sp>
    <xdr:clientData/>
  </xdr:twoCellAnchor>
  <xdr:twoCellAnchor editAs="oneCell">
    <xdr:from>
      <xdr:col>0</xdr:col>
      <xdr:colOff>114299</xdr:colOff>
      <xdr:row>91</xdr:row>
      <xdr:rowOff>114300</xdr:rowOff>
    </xdr:from>
    <xdr:to>
      <xdr:col>4</xdr:col>
      <xdr:colOff>409574</xdr:colOff>
      <xdr:row>105</xdr:row>
      <xdr:rowOff>57476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6306800"/>
          <a:ext cx="3495675" cy="26101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177"/>
  <sheetViews>
    <sheetView tabSelected="1" topLeftCell="A108" zoomScale="70" zoomScaleNormal="70" workbookViewId="0">
      <selection activeCell="H115" sqref="H115"/>
    </sheetView>
  </sheetViews>
  <sheetFormatPr defaultRowHeight="14.4"/>
  <cols>
    <col min="1" max="1" width="13.109375" customWidth="1"/>
    <col min="2" max="2" width="14.109375" customWidth="1"/>
    <col min="3" max="3" width="9.88671875" customWidth="1"/>
    <col min="4" max="4" width="10.88671875" customWidth="1"/>
    <col min="5" max="5" width="10.33203125" customWidth="1"/>
    <col min="6" max="6" width="10.109375" customWidth="1"/>
    <col min="9" max="9" width="9.6640625" customWidth="1"/>
    <col min="11" max="11" width="9.109375" style="10"/>
    <col min="12" max="12" width="9.33203125" bestFit="1" customWidth="1"/>
    <col min="23" max="23" width="12.33203125" bestFit="1" customWidth="1"/>
  </cols>
  <sheetData>
    <row r="2" spans="1:19" ht="1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11"/>
      <c r="S2" s="48"/>
    </row>
    <row r="3" spans="1:19">
      <c r="A3" s="69"/>
      <c r="B3" s="69"/>
      <c r="C3" s="69"/>
      <c r="D3" s="69"/>
      <c r="E3" s="69"/>
      <c r="F3" s="69"/>
      <c r="G3" s="69"/>
      <c r="H3" s="69"/>
      <c r="I3" s="69"/>
      <c r="J3" s="69"/>
      <c r="K3" s="11"/>
      <c r="S3" s="48"/>
    </row>
    <row r="4" spans="1:19">
      <c r="A4" s="70"/>
      <c r="B4" s="70"/>
      <c r="C4" s="70"/>
      <c r="D4" s="70"/>
      <c r="E4" s="70"/>
      <c r="F4" s="70"/>
      <c r="G4" s="70"/>
      <c r="H4" s="70"/>
      <c r="I4" s="70"/>
      <c r="J4" s="70"/>
      <c r="S4" s="48"/>
    </row>
    <row r="6" spans="1:19" ht="63" customHeight="1">
      <c r="M6" s="12"/>
    </row>
    <row r="7" spans="1:19" ht="15.6">
      <c r="B7" s="7"/>
      <c r="C7" s="4" t="s">
        <v>1</v>
      </c>
      <c r="D7" s="4"/>
    </row>
    <row r="8" spans="1:19" ht="15.6">
      <c r="B8" s="1"/>
      <c r="C8" s="4" t="s">
        <v>0</v>
      </c>
      <c r="D8" s="4"/>
    </row>
    <row r="9" spans="1:19" ht="15.6">
      <c r="B9" s="2"/>
      <c r="C9" s="4" t="s">
        <v>22</v>
      </c>
      <c r="D9" s="4"/>
    </row>
    <row r="10" spans="1:19" s="46" customFormat="1" ht="15.6">
      <c r="B10" s="57"/>
      <c r="C10" s="4" t="s">
        <v>97</v>
      </c>
      <c r="D10" s="4"/>
    </row>
    <row r="11" spans="1:19" s="34" customFormat="1" ht="15.6">
      <c r="C11" s="4"/>
      <c r="D11" s="4"/>
    </row>
    <row r="12" spans="1:19" s="34" customFormat="1" ht="15.6">
      <c r="A12" s="34" t="s">
        <v>70</v>
      </c>
      <c r="B12" s="1" t="s">
        <v>99</v>
      </c>
      <c r="C12" s="4"/>
      <c r="D12" s="4"/>
      <c r="R12" s="3"/>
      <c r="S12" s="45"/>
    </row>
    <row r="13" spans="1:19" s="20" customFormat="1" ht="15.6">
      <c r="B13" s="4"/>
      <c r="C13" s="4"/>
      <c r="D13" s="4"/>
      <c r="S13" s="45"/>
    </row>
    <row r="14" spans="1:19" s="20" customFormat="1" ht="15" customHeight="1">
      <c r="A14" s="67" t="s">
        <v>29</v>
      </c>
      <c r="B14" s="68"/>
      <c r="C14" s="68"/>
      <c r="D14" s="68"/>
      <c r="E14" s="68"/>
      <c r="F14" s="68"/>
      <c r="G14" s="68"/>
      <c r="H14" s="68"/>
      <c r="I14" s="68"/>
      <c r="J14" s="68"/>
      <c r="K14" s="19"/>
    </row>
    <row r="15" spans="1:19" s="20" customFormat="1" ht="18.7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19"/>
    </row>
    <row r="16" spans="1:19" s="20" customFormat="1" ht="15" customHeight="1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19"/>
    </row>
    <row r="17" spans="1:19" ht="15.6">
      <c r="A17" s="4" t="s">
        <v>2</v>
      </c>
      <c r="B17" s="4"/>
      <c r="C17" s="4"/>
      <c r="D17" s="1">
        <v>12</v>
      </c>
      <c r="E17" s="8" t="s">
        <v>5</v>
      </c>
    </row>
    <row r="18" spans="1:19" s="16" customFormat="1" ht="15.6">
      <c r="A18" s="4" t="s">
        <v>27</v>
      </c>
      <c r="B18" s="4"/>
      <c r="C18" s="18"/>
      <c r="D18" s="1">
        <v>3</v>
      </c>
      <c r="E18" s="28" t="s">
        <v>26</v>
      </c>
      <c r="F18" s="4" t="s">
        <v>90</v>
      </c>
      <c r="H18" s="36"/>
      <c r="I18" s="36"/>
      <c r="J18" s="36"/>
      <c r="K18" s="36"/>
      <c r="S18" s="45"/>
    </row>
    <row r="19" spans="1:19" s="20" customFormat="1" ht="15.6">
      <c r="A19" s="4"/>
      <c r="B19" s="4"/>
      <c r="C19" s="18"/>
      <c r="D19" s="36"/>
      <c r="E19" s="17"/>
      <c r="F19" s="38"/>
      <c r="H19" s="36"/>
      <c r="I19" s="36"/>
      <c r="J19" s="36"/>
      <c r="K19" s="36"/>
    </row>
    <row r="20" spans="1:19" ht="15.6">
      <c r="A20" s="4" t="s">
        <v>95</v>
      </c>
      <c r="B20" s="4"/>
      <c r="C20" s="4"/>
      <c r="D20" s="1">
        <v>3.3</v>
      </c>
      <c r="E20" s="8" t="s">
        <v>5</v>
      </c>
      <c r="F20" s="38"/>
      <c r="H20" s="36"/>
      <c r="I20" s="36"/>
      <c r="J20" s="36"/>
      <c r="K20" s="36"/>
      <c r="S20" s="45"/>
    </row>
    <row r="21" spans="1:19" s="16" customFormat="1" ht="15.6">
      <c r="A21" s="4" t="s">
        <v>28</v>
      </c>
      <c r="B21" s="4"/>
      <c r="C21" s="18"/>
      <c r="D21" s="1">
        <v>1</v>
      </c>
      <c r="E21" s="28" t="s">
        <v>26</v>
      </c>
      <c r="F21" s="4" t="s">
        <v>91</v>
      </c>
      <c r="H21" s="36"/>
      <c r="I21" s="36"/>
      <c r="J21" s="36"/>
      <c r="K21" s="36"/>
      <c r="S21" s="45"/>
    </row>
    <row r="22" spans="1:19" s="20" customFormat="1" ht="15.6">
      <c r="A22" s="23" t="s">
        <v>36</v>
      </c>
      <c r="B22" s="4"/>
      <c r="C22" s="18"/>
      <c r="D22" s="1">
        <v>3</v>
      </c>
      <c r="E22" s="28" t="s">
        <v>26</v>
      </c>
      <c r="F22" s="4" t="s">
        <v>115</v>
      </c>
      <c r="H22" s="36"/>
      <c r="I22" s="36"/>
      <c r="J22" s="36"/>
      <c r="K22" s="36"/>
      <c r="S22" s="58"/>
    </row>
    <row r="23" spans="1:19" s="36" customFormat="1" ht="15.6">
      <c r="A23" s="23"/>
      <c r="B23" s="4"/>
      <c r="C23" s="18"/>
      <c r="E23" s="28"/>
      <c r="F23" s="37"/>
    </row>
    <row r="24" spans="1:19" ht="15.6">
      <c r="A24" s="4" t="s">
        <v>33</v>
      </c>
      <c r="B24" s="4"/>
      <c r="C24" s="4"/>
      <c r="D24" s="1">
        <v>30</v>
      </c>
      <c r="E24" s="8" t="s">
        <v>6</v>
      </c>
    </row>
    <row r="25" spans="1:19" ht="15.6">
      <c r="A25" s="4" t="s">
        <v>32</v>
      </c>
      <c r="D25" s="1">
        <v>10</v>
      </c>
      <c r="E25" s="8" t="s">
        <v>30</v>
      </c>
    </row>
    <row r="26" spans="1:19" ht="15.6">
      <c r="A26" s="4" t="s">
        <v>31</v>
      </c>
      <c r="D26" s="27">
        <v>0.5</v>
      </c>
      <c r="E26" s="32"/>
      <c r="F26" s="4" t="s">
        <v>79</v>
      </c>
    </row>
    <row r="27" spans="1:19" s="20" customFormat="1" ht="15.6">
      <c r="A27" s="4"/>
      <c r="F27" s="22"/>
    </row>
    <row r="28" spans="1:19" ht="15.6">
      <c r="A28" s="4" t="s">
        <v>43</v>
      </c>
      <c r="B28" s="4"/>
      <c r="C28" s="4"/>
      <c r="D28" s="1">
        <v>600</v>
      </c>
      <c r="E28" s="8" t="s">
        <v>34</v>
      </c>
      <c r="F28" s="4"/>
      <c r="R28" s="3"/>
      <c r="S28" s="45"/>
    </row>
    <row r="29" spans="1:19" ht="15" customHeight="1">
      <c r="A29" s="67" t="s">
        <v>8</v>
      </c>
      <c r="B29" s="68"/>
      <c r="C29" s="68"/>
      <c r="D29" s="68"/>
      <c r="E29" s="68"/>
      <c r="F29" s="68"/>
      <c r="G29" s="68"/>
      <c r="H29" s="68"/>
      <c r="I29" s="68"/>
      <c r="J29" s="68"/>
      <c r="K29" s="9"/>
      <c r="S29" s="49"/>
    </row>
    <row r="30" spans="1:19" ht="18.7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9"/>
    </row>
    <row r="31" spans="1:19" ht="15" customHeight="1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9"/>
    </row>
    <row r="32" spans="1:19" s="36" customFormat="1" ht="26.25" customHeight="1">
      <c r="A32" s="71" t="s">
        <v>71</v>
      </c>
      <c r="B32" s="71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37" ht="15.6">
      <c r="A33" s="4" t="s">
        <v>3</v>
      </c>
      <c r="B33" s="4"/>
      <c r="C33" s="4"/>
      <c r="D33" s="30">
        <f>D20*(1-D20/D17/(1+D18/100))/(D24*0.25*D28*1000)*1000000</f>
        <v>0.53754045307443366</v>
      </c>
      <c r="E33" s="8" t="s">
        <v>62</v>
      </c>
      <c r="F33" s="4" t="s">
        <v>118</v>
      </c>
      <c r="G33" s="36"/>
      <c r="H33" s="36"/>
      <c r="I33" s="36"/>
      <c r="J33" s="36"/>
      <c r="K33" s="36"/>
      <c r="L33" s="36"/>
      <c r="S33" s="45"/>
    </row>
    <row r="34" spans="1:37" s="16" customFormat="1" ht="15.6">
      <c r="A34" s="4" t="s">
        <v>73</v>
      </c>
      <c r="B34" s="4"/>
      <c r="C34" s="4"/>
      <c r="D34" s="29">
        <v>1</v>
      </c>
      <c r="E34" s="28" t="s">
        <v>62</v>
      </c>
      <c r="F34" s="39"/>
      <c r="G34" s="36"/>
      <c r="H34" s="36"/>
      <c r="I34" s="36"/>
      <c r="J34" s="36"/>
      <c r="K34" s="36"/>
      <c r="L34" s="36"/>
      <c r="N34" s="76"/>
    </row>
    <row r="35" spans="1:37" ht="15.6">
      <c r="A35" s="4" t="s">
        <v>4</v>
      </c>
      <c r="B35" s="4"/>
      <c r="C35" s="4"/>
      <c r="D35" s="1">
        <v>1.5</v>
      </c>
      <c r="E35" s="8" t="s">
        <v>64</v>
      </c>
      <c r="G35" s="36"/>
      <c r="H35" s="36"/>
      <c r="I35" s="36"/>
      <c r="J35" s="36"/>
      <c r="K35" s="36"/>
      <c r="L35" s="36"/>
    </row>
    <row r="36" spans="1:37" ht="15.6">
      <c r="A36" s="4" t="s">
        <v>9</v>
      </c>
      <c r="B36" s="4"/>
      <c r="C36" s="4"/>
      <c r="D36" s="31">
        <f>($D$17-$D$20)*$D$20/$D$17/$D$28/$D$34*1000</f>
        <v>3.9874999999999998</v>
      </c>
      <c r="E36" s="4" t="s">
        <v>6</v>
      </c>
      <c r="F36" s="4"/>
      <c r="G36" s="4"/>
      <c r="H36" s="36"/>
      <c r="I36" s="36"/>
      <c r="J36" s="36"/>
      <c r="K36" s="36"/>
      <c r="L36" s="36"/>
    </row>
    <row r="37" spans="1:37" s="13" customFormat="1" ht="15.6">
      <c r="A37" s="4" t="s">
        <v>25</v>
      </c>
      <c r="B37" s="4"/>
      <c r="C37" s="4"/>
      <c r="D37" s="31">
        <f>$D$36/$D$24*100</f>
        <v>13.291666666666666</v>
      </c>
      <c r="E37" s="4" t="s">
        <v>26</v>
      </c>
      <c r="F37" s="4" t="s">
        <v>92</v>
      </c>
      <c r="G37" s="4"/>
      <c r="H37" s="36"/>
      <c r="I37" s="36"/>
      <c r="J37" s="36"/>
      <c r="K37" s="36"/>
      <c r="L37" s="36"/>
      <c r="S37" s="45"/>
    </row>
    <row r="38" spans="1:37" s="20" customFormat="1" ht="24.75" customHeight="1">
      <c r="A38" s="71" t="s">
        <v>72</v>
      </c>
      <c r="B38" s="71"/>
      <c r="C38" s="4"/>
      <c r="D38" s="4"/>
      <c r="E38" s="4"/>
      <c r="F38" s="4"/>
      <c r="G38" s="4"/>
    </row>
    <row r="39" spans="1:37" s="20" customFormat="1" ht="15.6">
      <c r="A39" s="59" t="s">
        <v>100</v>
      </c>
      <c r="B39" s="4"/>
      <c r="C39" s="4"/>
      <c r="D39" s="30">
        <f>D24*(1-D20/D17/(1-D18/100))*D20/D17/(1-D18/100)/(D28*1000*(D17*D18/100-0.001*D41/D43*D24*(1+0.5*D37/100)))*1000000</f>
        <v>29.801606046323236</v>
      </c>
      <c r="E39" s="8" t="s">
        <v>63</v>
      </c>
      <c r="F39" s="4"/>
      <c r="G39" s="4"/>
      <c r="S39" s="45"/>
    </row>
    <row r="40" spans="1:37" s="20" customFormat="1" ht="15.6">
      <c r="A40" s="59" t="s">
        <v>101</v>
      </c>
      <c r="B40" s="4"/>
      <c r="C40" s="4"/>
      <c r="D40" s="29">
        <v>3.8</v>
      </c>
      <c r="E40" s="8" t="s">
        <v>63</v>
      </c>
      <c r="F40" s="4" t="s">
        <v>78</v>
      </c>
      <c r="G40" s="4"/>
    </row>
    <row r="41" spans="1:37" s="20" customFormat="1" ht="15.6">
      <c r="A41" s="59" t="s">
        <v>102</v>
      </c>
      <c r="B41" s="4"/>
      <c r="C41" s="4"/>
      <c r="D41" s="1">
        <v>3</v>
      </c>
      <c r="E41" s="8" t="s">
        <v>64</v>
      </c>
      <c r="G41" s="4"/>
    </row>
    <row r="42" spans="1:37" s="20" customFormat="1" ht="15.6">
      <c r="A42" s="59" t="s">
        <v>103</v>
      </c>
      <c r="B42" s="4"/>
      <c r="C42" s="4"/>
      <c r="D42" s="1">
        <v>1</v>
      </c>
      <c r="E42" s="8" t="s">
        <v>65</v>
      </c>
      <c r="G42" s="4"/>
    </row>
    <row r="43" spans="1:37" s="20" customFormat="1" ht="15.6">
      <c r="A43" s="59" t="s">
        <v>104</v>
      </c>
      <c r="B43" s="4"/>
      <c r="C43" s="4"/>
      <c r="D43" s="1">
        <v>5</v>
      </c>
      <c r="E43" s="28" t="s">
        <v>35</v>
      </c>
      <c r="G43" s="4"/>
      <c r="S43" s="47"/>
    </row>
    <row r="44" spans="1:37" s="20" customFormat="1" ht="15.6">
      <c r="A44" s="59" t="s">
        <v>105</v>
      </c>
      <c r="B44" s="4"/>
      <c r="C44" s="4"/>
      <c r="D44" s="31">
        <f>D43*D40</f>
        <v>19</v>
      </c>
      <c r="E44" s="8" t="s">
        <v>63</v>
      </c>
      <c r="F44" s="4"/>
      <c r="G44" s="4"/>
      <c r="AK44" s="45"/>
    </row>
    <row r="45" spans="1:37" s="36" customFormat="1" ht="15.6">
      <c r="A45" s="59" t="s">
        <v>27</v>
      </c>
      <c r="B45" s="59"/>
      <c r="C45" s="4"/>
      <c r="D45" s="31">
        <f>((((1-D20/D17)*D24*D20)/(D44*D28*D17*0.001))+((1-D20/D17)*D24*(D41/D43)*0.001))*1000</f>
        <v>537.72105263157903</v>
      </c>
      <c r="E45" s="8" t="s">
        <v>75</v>
      </c>
      <c r="F45" s="4"/>
      <c r="G45" s="4"/>
      <c r="S45" s="45"/>
      <c r="AK45" s="45"/>
    </row>
    <row r="46" spans="1:37" s="36" customFormat="1" ht="15.6">
      <c r="A46" s="59"/>
      <c r="B46" s="59"/>
      <c r="C46" s="4"/>
      <c r="D46" s="31">
        <f>0.1*D45/D17</f>
        <v>4.4810087719298251</v>
      </c>
      <c r="E46" s="8" t="s">
        <v>76</v>
      </c>
      <c r="F46" s="4"/>
      <c r="G46" s="4"/>
      <c r="AK46" s="45"/>
    </row>
    <row r="47" spans="1:37" s="36" customFormat="1" ht="15.6">
      <c r="A47" s="59"/>
      <c r="B47" s="59"/>
      <c r="C47" s="4"/>
      <c r="D47" s="31">
        <f>D45/2/SQRT(3)</f>
        <v>155.22669724288554</v>
      </c>
      <c r="E47" s="8" t="s">
        <v>77</v>
      </c>
      <c r="F47" s="4" t="s">
        <v>93</v>
      </c>
      <c r="G47" s="4"/>
      <c r="S47" s="45"/>
      <c r="AK47" s="45"/>
    </row>
    <row r="48" spans="1:37" s="20" customFormat="1" ht="24" customHeight="1">
      <c r="A48" s="71" t="s">
        <v>74</v>
      </c>
      <c r="B48" s="71"/>
      <c r="C48" s="4"/>
      <c r="G48" s="4"/>
      <c r="P48" s="56"/>
      <c r="AK48" s="45"/>
    </row>
    <row r="49" spans="1:38" s="20" customFormat="1" ht="15.6">
      <c r="A49" s="59" t="s">
        <v>106</v>
      </c>
      <c r="B49" s="4"/>
      <c r="C49" s="4"/>
      <c r="D49" s="30">
        <f>MAX(D37/100*D24/($D$28*1000)/8/(D20*D21/100+$D$36*D59),1.67*MIN(D24*D26,5*D25/D28*1000)/(D28*1000*D20*(D22/100)))*1000000</f>
        <v>421.71717171717165</v>
      </c>
      <c r="E49" s="8" t="s">
        <v>63</v>
      </c>
      <c r="F49" s="54"/>
      <c r="G49" s="4"/>
      <c r="P49" s="56"/>
      <c r="R49" s="3"/>
      <c r="S49" s="45"/>
      <c r="U49" s="45"/>
      <c r="V49" s="4"/>
      <c r="AL49" s="45"/>
    </row>
    <row r="50" spans="1:38" s="35" customFormat="1" ht="15.6">
      <c r="A50" s="59" t="s">
        <v>107</v>
      </c>
      <c r="B50" s="4"/>
      <c r="C50" s="4"/>
      <c r="D50" s="29">
        <v>53</v>
      </c>
      <c r="E50" s="60" t="s">
        <v>63</v>
      </c>
      <c r="F50" s="59" t="s">
        <v>110</v>
      </c>
      <c r="G50" s="4"/>
      <c r="S50" s="45"/>
      <c r="AL50" s="53"/>
    </row>
    <row r="51" spans="1:38" s="35" customFormat="1" ht="15.6">
      <c r="A51" s="4" t="s">
        <v>81</v>
      </c>
      <c r="B51" s="4"/>
      <c r="C51" s="4"/>
      <c r="D51" s="1">
        <v>2</v>
      </c>
      <c r="E51" s="60" t="s">
        <v>64</v>
      </c>
      <c r="G51" s="4"/>
      <c r="S51" s="45"/>
      <c r="AK51" s="38"/>
      <c r="AL51" s="38"/>
    </row>
    <row r="52" spans="1:38" s="35" customFormat="1" ht="15.6">
      <c r="A52" s="4" t="s">
        <v>82</v>
      </c>
      <c r="B52" s="4"/>
      <c r="C52" s="4"/>
      <c r="D52" s="1">
        <v>1.6</v>
      </c>
      <c r="E52" s="60" t="s">
        <v>65</v>
      </c>
      <c r="G52" s="4"/>
      <c r="S52" s="45"/>
      <c r="AK52" s="38"/>
      <c r="AL52" s="38"/>
    </row>
    <row r="53" spans="1:38" s="35" customFormat="1" ht="15.6">
      <c r="A53" s="59" t="s">
        <v>108</v>
      </c>
      <c r="B53" s="4"/>
      <c r="C53" s="4"/>
      <c r="D53" s="1">
        <v>10</v>
      </c>
      <c r="E53" s="28" t="s">
        <v>35</v>
      </c>
      <c r="G53" s="4"/>
      <c r="S53" s="47"/>
      <c r="AK53" s="38"/>
      <c r="AL53" s="38"/>
    </row>
    <row r="54" spans="1:38" s="20" customFormat="1" ht="15.6">
      <c r="A54" s="4" t="s">
        <v>83</v>
      </c>
      <c r="B54" s="4"/>
      <c r="C54" s="4"/>
      <c r="D54" s="41">
        <v>330</v>
      </c>
      <c r="E54" s="60" t="s">
        <v>63</v>
      </c>
      <c r="F54" s="59" t="s">
        <v>111</v>
      </c>
      <c r="G54" s="4"/>
      <c r="S54" s="45"/>
    </row>
    <row r="55" spans="1:38" s="20" customFormat="1" ht="15.6">
      <c r="A55" s="4" t="s">
        <v>84</v>
      </c>
      <c r="B55" s="4"/>
      <c r="C55" s="4"/>
      <c r="D55" s="42">
        <v>15</v>
      </c>
      <c r="E55" s="60" t="s">
        <v>64</v>
      </c>
      <c r="G55" s="4"/>
      <c r="S55" s="45"/>
    </row>
    <row r="56" spans="1:38" s="20" customFormat="1" ht="15.6">
      <c r="A56" s="4" t="s">
        <v>85</v>
      </c>
      <c r="B56" s="4"/>
      <c r="C56" s="4"/>
      <c r="D56" s="42">
        <v>4</v>
      </c>
      <c r="E56" s="60" t="s">
        <v>65</v>
      </c>
      <c r="F56"/>
      <c r="G56" s="4"/>
      <c r="S56" s="45"/>
    </row>
    <row r="57" spans="1:38" s="20" customFormat="1" ht="15.6">
      <c r="A57" s="59" t="s">
        <v>109</v>
      </c>
      <c r="B57" s="4"/>
      <c r="C57" s="4"/>
      <c r="D57" s="42">
        <v>0</v>
      </c>
      <c r="E57" s="28" t="s">
        <v>35</v>
      </c>
      <c r="F57"/>
      <c r="G57" s="4"/>
      <c r="S57" s="47"/>
    </row>
    <row r="58" spans="1:38" s="20" customFormat="1" ht="15.6">
      <c r="A58" s="59" t="s">
        <v>106</v>
      </c>
      <c r="B58" s="4"/>
      <c r="C58" s="4"/>
      <c r="D58" s="31">
        <f>D54*D57+D50*D53</f>
        <v>530</v>
      </c>
      <c r="E58" s="8" t="s">
        <v>63</v>
      </c>
      <c r="F58" s="4"/>
      <c r="G58" s="4"/>
    </row>
    <row r="59" spans="1:38" s="21" customFormat="1" ht="15.6">
      <c r="A59" s="4" t="s">
        <v>39</v>
      </c>
      <c r="B59" s="4"/>
      <c r="C59" s="4"/>
      <c r="D59" s="31">
        <f>IF(D57=0,D51/D53,D55/D57*D51/D53/(D55/D57+D51/D53))</f>
        <v>0.2</v>
      </c>
      <c r="E59" s="8" t="s">
        <v>87</v>
      </c>
      <c r="G59" s="4"/>
      <c r="S59" s="45"/>
    </row>
    <row r="60" spans="1:38" s="21" customFormat="1" ht="15.6">
      <c r="A60" s="4" t="s">
        <v>40</v>
      </c>
      <c r="B60" s="4"/>
      <c r="C60" s="4"/>
      <c r="D60" s="31">
        <f>IF(D57=0,D52/D53,D56/D57*D52/D53/(D56/D57+D52/D53))</f>
        <v>0.16</v>
      </c>
      <c r="E60" s="8" t="s">
        <v>65</v>
      </c>
      <c r="G60" s="4"/>
    </row>
    <row r="61" spans="1:38" s="20" customFormat="1" ht="15.6">
      <c r="A61" s="4"/>
      <c r="B61" s="4"/>
      <c r="C61" s="4"/>
      <c r="D61" s="8"/>
      <c r="E61" s="8"/>
      <c r="F61" s="4"/>
      <c r="G61" s="4"/>
    </row>
    <row r="62" spans="1:38" ht="15.6">
      <c r="A62" s="72" t="s">
        <v>98</v>
      </c>
      <c r="B62" s="72"/>
      <c r="C62" s="4"/>
      <c r="D62" s="31">
        <f>1000000000*(1/D28^2*D20*(1-D20/D17)/8/D34/D58)+1000*(1-D20/D17)/D34/D28*D59*D20</f>
        <v>2.364913522012579</v>
      </c>
      <c r="E62" s="59" t="s">
        <v>75</v>
      </c>
      <c r="F62" s="4"/>
      <c r="G62" s="51"/>
      <c r="S62" s="45"/>
      <c r="U62" s="50"/>
      <c r="V62" s="45"/>
    </row>
    <row r="63" spans="1:38" s="16" customFormat="1" ht="15.6">
      <c r="A63" s="72"/>
      <c r="B63" s="72"/>
      <c r="C63" s="18"/>
      <c r="D63" s="31">
        <f>2*D62/D20*100/2/1000</f>
        <v>7.16640461215933E-2</v>
      </c>
      <c r="E63" s="4" t="s">
        <v>26</v>
      </c>
      <c r="F63" s="4"/>
      <c r="G63" s="51"/>
      <c r="U63" s="50"/>
    </row>
    <row r="64" spans="1:38" s="16" customFormat="1" ht="15.6">
      <c r="A64" s="4"/>
      <c r="B64" s="4"/>
      <c r="C64" s="4"/>
      <c r="D64" s="4"/>
      <c r="E64" s="4"/>
      <c r="F64" s="4"/>
      <c r="G64" s="4"/>
    </row>
    <row r="65" spans="1:37" s="16" customFormat="1" ht="15.6">
      <c r="A65" s="73" t="s">
        <v>94</v>
      </c>
      <c r="B65" s="73"/>
      <c r="C65" s="4"/>
      <c r="D65" s="31">
        <f>1.67*(MIN(5*D25/D28*1000,D26*D24)/(D28*1000)/D58*1000000000)</f>
        <v>78.773584905660385</v>
      </c>
      <c r="E65" s="4" t="s">
        <v>66</v>
      </c>
      <c r="F65" s="4" t="s">
        <v>116</v>
      </c>
      <c r="G65" s="4"/>
      <c r="S65" s="58"/>
    </row>
    <row r="66" spans="1:37" s="16" customFormat="1" ht="15.6">
      <c r="A66" s="73"/>
      <c r="B66" s="73"/>
      <c r="C66" s="18"/>
      <c r="D66" s="31">
        <f>D65/D20*100/1000</f>
        <v>2.3870783304745573</v>
      </c>
      <c r="E66" s="4" t="s">
        <v>26</v>
      </c>
      <c r="F66" s="4"/>
      <c r="G66" s="4"/>
      <c r="S66" s="49"/>
    </row>
    <row r="67" spans="1:37" s="16" customFormat="1" ht="15.6">
      <c r="A67" s="4"/>
      <c r="B67" s="4"/>
      <c r="C67" s="4"/>
      <c r="D67" s="4"/>
      <c r="E67" s="4"/>
      <c r="F67" s="4"/>
      <c r="G67" s="4"/>
    </row>
    <row r="68" spans="1:37" ht="15.6">
      <c r="A68" s="73" t="s">
        <v>96</v>
      </c>
      <c r="B68" s="73"/>
      <c r="D68" s="31">
        <f>1000*(SQRT((D34*D24^2/D58)+D20^2)-D20)+(D59*D24)</f>
        <v>253.97311257387778</v>
      </c>
      <c r="E68" s="4" t="s">
        <v>66</v>
      </c>
      <c r="F68" s="4" t="s">
        <v>117</v>
      </c>
      <c r="I68" s="49"/>
      <c r="P68" s="52"/>
      <c r="R68" s="3"/>
      <c r="S68" s="45"/>
      <c r="U68" s="56"/>
      <c r="V68" s="56"/>
      <c r="W68" s="53"/>
    </row>
    <row r="69" spans="1:37" s="16" customFormat="1" ht="15.6">
      <c r="A69" s="73"/>
      <c r="B69" s="73"/>
      <c r="C69" s="18"/>
      <c r="D69" s="31">
        <f>D68/D20*100/1000</f>
        <v>7.696154926481146</v>
      </c>
      <c r="E69" s="4" t="s">
        <v>26</v>
      </c>
      <c r="W69" s="45"/>
    </row>
    <row r="70" spans="1:37">
      <c r="A70" s="67" t="s">
        <v>10</v>
      </c>
      <c r="B70" s="68"/>
      <c r="C70" s="68"/>
      <c r="D70" s="68"/>
      <c r="E70" s="68"/>
      <c r="F70" s="68"/>
      <c r="G70" s="68"/>
      <c r="H70" s="68"/>
      <c r="I70" s="68"/>
      <c r="J70" s="68"/>
      <c r="K70" s="9"/>
    </row>
    <row r="71" spans="1:37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9"/>
    </row>
    <row r="72" spans="1:37" ht="17.399999999999999">
      <c r="A72" s="67"/>
      <c r="B72" s="68"/>
      <c r="C72" s="68"/>
      <c r="D72" s="68"/>
      <c r="E72" s="68"/>
      <c r="F72" s="68"/>
      <c r="G72" s="68"/>
      <c r="H72" s="68"/>
      <c r="I72" s="68"/>
      <c r="J72" s="68"/>
      <c r="K72" s="9"/>
    </row>
    <row r="73" spans="1:37" s="21" customFormat="1" ht="15.6">
      <c r="A73" s="4" t="s">
        <v>37</v>
      </c>
      <c r="D73" s="25">
        <v>10</v>
      </c>
      <c r="E73" s="4"/>
      <c r="R73" s="3"/>
      <c r="S73" s="49"/>
    </row>
    <row r="74" spans="1:37" s="26" customFormat="1" ht="15.6">
      <c r="A74" s="4" t="s">
        <v>55</v>
      </c>
      <c r="D74" s="25">
        <f>IF(D20&lt;=1.999,1,IF(D20&lt;=3.999,0.5,0.25))</f>
        <v>0.5</v>
      </c>
      <c r="E74" s="4"/>
      <c r="S74" s="45"/>
      <c r="AK74" s="55"/>
    </row>
    <row r="75" spans="1:37" s="21" customFormat="1" ht="15.6">
      <c r="A75" s="4" t="s">
        <v>38</v>
      </c>
      <c r="D75" s="25">
        <f>D17/D73</f>
        <v>1.2</v>
      </c>
      <c r="E75" s="4"/>
      <c r="AK75" s="45"/>
    </row>
    <row r="76" spans="1:37" s="21" customFormat="1" ht="15.6">
      <c r="A76" s="4" t="s">
        <v>41</v>
      </c>
      <c r="D76" s="31">
        <f>1/(2*PI()*D58*0.000001*D59*0.001)/1000</f>
        <v>1501.4617272820315</v>
      </c>
      <c r="E76" s="4" t="s">
        <v>34</v>
      </c>
    </row>
    <row r="77" spans="1:37" s="21" customFormat="1" ht="15.6">
      <c r="A77" s="4" t="s">
        <v>42</v>
      </c>
      <c r="D77" s="31">
        <f>1/(2*PI()*SQRT(D34*0.000001*D58*0.000001))/1000</f>
        <v>6.9132489577655258</v>
      </c>
      <c r="E77" s="4" t="s">
        <v>34</v>
      </c>
    </row>
    <row r="78" spans="1:37" s="21" customFormat="1" ht="15.6">
      <c r="A78" s="4" t="s">
        <v>44</v>
      </c>
      <c r="D78" s="31">
        <f>D20/D24*SQRT(D58/D34)</f>
        <v>2.5323901753086941</v>
      </c>
      <c r="E78" s="4"/>
    </row>
    <row r="79" spans="1:37" s="43" customFormat="1" ht="15.6">
      <c r="A79" s="4" t="s">
        <v>88</v>
      </c>
      <c r="D79" s="31">
        <f>D20/D24*1000</f>
        <v>110</v>
      </c>
      <c r="E79" s="4" t="s">
        <v>87</v>
      </c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</row>
    <row r="80" spans="1:37" s="21" customFormat="1"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</row>
    <row r="81" spans="1:30" s="21" customFormat="1" ht="15.6">
      <c r="A81" s="4" t="s">
        <v>80</v>
      </c>
      <c r="D81" s="1">
        <v>40</v>
      </c>
      <c r="E81" s="4" t="s">
        <v>34</v>
      </c>
      <c r="F81" s="63" t="str">
        <f>IF(F85&lt;10*F84,"BW limited, please reduce f_c."," ")</f>
        <v xml:space="preserve"> </v>
      </c>
      <c r="N81" s="65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</row>
    <row r="82" spans="1:30" s="21" customFormat="1" ht="15.6">
      <c r="A82" s="4" t="s">
        <v>45</v>
      </c>
      <c r="D82" s="1">
        <v>75</v>
      </c>
      <c r="E82" s="15" t="s">
        <v>46</v>
      </c>
      <c r="F82" s="4" t="s">
        <v>86</v>
      </c>
    </row>
    <row r="83" spans="1:30" s="21" customFormat="1">
      <c r="S83" s="64"/>
      <c r="T83" s="58"/>
      <c r="W83" s="58"/>
    </row>
    <row r="84" spans="1:30" s="21" customFormat="1" ht="15.6">
      <c r="A84" s="4" t="s">
        <v>47</v>
      </c>
      <c r="D84" s="31">
        <f>-20*LOG10(IMABS(IMPRODUCT(D$73,D$74,IMDIV(D$79,IMSUM(D$79,D$35)),IMDIV(IMSUM(1,IMDIV(COMPLEX(0,2*PI()*D81*1000),2*PI()*D$76*1000)),IMSUM(1,IMDIV(COMPLEX(0,2*PI()*D81*1000),2*PI()*D$77*1000*D$78),IMDIV(IMPOWER(COMPLEX(0,2*PI()*D81*1000),2),IMPOWER(2*PI()*D$77*1000,2)))))))</f>
        <v>16.388307701438354</v>
      </c>
      <c r="E84" s="4" t="s">
        <v>49</v>
      </c>
      <c r="F84" s="44">
        <f>10^(D84/20)</f>
        <v>6.598046699688819</v>
      </c>
      <c r="G84" s="24" t="s">
        <v>54</v>
      </c>
    </row>
    <row r="85" spans="1:30" s="61" customFormat="1" ht="15.6" hidden="1">
      <c r="A85" s="4" t="s">
        <v>114</v>
      </c>
      <c r="D85" s="31">
        <f>20*LOG10(F85)</f>
        <v>47.95880017344075</v>
      </c>
      <c r="E85" s="4" t="s">
        <v>49</v>
      </c>
      <c r="F85" s="44">
        <f>10000/D81</f>
        <v>250</v>
      </c>
      <c r="G85" s="24" t="s">
        <v>54</v>
      </c>
      <c r="S85" s="64"/>
      <c r="T85" s="58"/>
      <c r="U85" s="58"/>
      <c r="V85" s="58"/>
      <c r="W85" s="58"/>
      <c r="X85" s="58"/>
    </row>
    <row r="86" spans="1:30" s="21" customFormat="1" ht="15.6">
      <c r="A86" s="4" t="s">
        <v>48</v>
      </c>
      <c r="D86" s="31">
        <f>D82-IMARGUMENT(IMPRODUCT(D$73,D$74,IMDIV(D$79,IMSUM(D$79,D$35)),IMDIV(IMSUM(1,IMDIV(COMPLEX(0,2*PI()*D81*1000),2*PI()*D$76*1000)),IMSUM(1,IMDIV(COMPLEX(0,2*PI()*D81*1000),2*PI()*D$77*1000*D$78),IMDIV(IMPOWER(COMPLEX(0,2*PI()*D81*1000),2),IMPOWER(2*PI()*D$77*1000,2))))))*180/PI()-90</f>
        <v>159.4498527856251</v>
      </c>
      <c r="E86" s="15" t="s">
        <v>46</v>
      </c>
    </row>
    <row r="87" spans="1:30" s="21" customFormat="1" ht="15.6">
      <c r="A87" s="4"/>
      <c r="D87" s="15"/>
      <c r="E87" s="15"/>
    </row>
    <row r="88" spans="1:30" s="21" customFormat="1" ht="15.6">
      <c r="A88" s="4" t="s">
        <v>51</v>
      </c>
      <c r="D88" s="31">
        <f>0.3*D77</f>
        <v>2.0739746873296578</v>
      </c>
      <c r="E88" s="4" t="s">
        <v>34</v>
      </c>
    </row>
    <row r="89" spans="1:30" s="21" customFormat="1" ht="15.6">
      <c r="A89" s="4" t="s">
        <v>50</v>
      </c>
      <c r="D89" s="31">
        <f>0.8*D77</f>
        <v>5.5305991662124212</v>
      </c>
      <c r="E89" s="4" t="s">
        <v>34</v>
      </c>
      <c r="R89" s="3"/>
      <c r="S89" s="45"/>
    </row>
    <row r="90" spans="1:30" s="21" customFormat="1" ht="15.6">
      <c r="A90" s="4" t="s">
        <v>52</v>
      </c>
      <c r="D90" s="31">
        <f>IF(D76&gt;D28,0.85*D28,D76)</f>
        <v>510</v>
      </c>
      <c r="E90" s="4" t="s">
        <v>34</v>
      </c>
      <c r="S90" s="58"/>
    </row>
    <row r="91" spans="1:30" s="21" customFormat="1" ht="15.6">
      <c r="A91" s="4" t="s">
        <v>53</v>
      </c>
      <c r="D91" s="31">
        <f>D81/TAN((ATAN(D81/D88)/PI()*180+ATAN(D81/D89)/PI()*180-ATAN(D81/D90)/PI()*180-D86)/180*PI())</f>
        <v>437.38106127427358</v>
      </c>
      <c r="E91" s="4" t="s">
        <v>34</v>
      </c>
    </row>
    <row r="92" spans="1:30" s="21" customFormat="1"/>
    <row r="93" spans="1:30">
      <c r="O93" s="50"/>
    </row>
    <row r="106" spans="1:19" ht="15.6">
      <c r="F106" s="4"/>
    </row>
    <row r="107" spans="1:19" ht="16.2">
      <c r="A107" s="4" t="s">
        <v>56</v>
      </c>
      <c r="B107" s="4"/>
      <c r="C107" s="4"/>
      <c r="D107" s="77">
        <v>5</v>
      </c>
      <c r="E107" s="4" t="s">
        <v>67</v>
      </c>
      <c r="F107" s="4" t="s">
        <v>89</v>
      </c>
      <c r="G107" s="4"/>
    </row>
    <row r="108" spans="1:19" s="21" customFormat="1" ht="15.6">
      <c r="A108" s="72" t="s">
        <v>57</v>
      </c>
      <c r="B108" s="4"/>
      <c r="C108" s="4"/>
      <c r="D108" s="31">
        <f>1000*D107*D89/(D91-D89)</f>
        <v>64.033729861200314</v>
      </c>
      <c r="E108" s="4" t="s">
        <v>7</v>
      </c>
      <c r="F108" s="4"/>
      <c r="S108" s="45"/>
    </row>
    <row r="109" spans="1:19" ht="15.6">
      <c r="A109" s="72"/>
      <c r="B109" s="4"/>
      <c r="C109" s="4"/>
      <c r="D109" s="1">
        <v>110</v>
      </c>
      <c r="E109" s="4" t="s">
        <v>7</v>
      </c>
      <c r="F109" s="4"/>
    </row>
    <row r="110" spans="1:19" s="21" customFormat="1" ht="15.6">
      <c r="A110" s="72" t="s">
        <v>58</v>
      </c>
      <c r="B110" s="4"/>
      <c r="C110" s="4"/>
      <c r="D110" s="31">
        <f>10^(D84/20)*D107*D91/(D91-D88)*SQRT((1+(D81/D90)^2)*(1+(D81/D91)^2)/(1+(D81/D89)^2)/(1+(D88/D81)^2))</f>
        <v>4.5667481275288822</v>
      </c>
      <c r="E110" s="4" t="s">
        <v>67</v>
      </c>
      <c r="F110" s="4"/>
      <c r="S110" s="45"/>
    </row>
    <row r="111" spans="1:19" ht="15.6">
      <c r="A111" s="72"/>
      <c r="B111" s="4"/>
      <c r="C111" s="4"/>
      <c r="D111" s="1">
        <v>4.7</v>
      </c>
      <c r="E111" s="4" t="s">
        <v>67</v>
      </c>
      <c r="F111" s="4"/>
    </row>
    <row r="112" spans="1:19" s="21" customFormat="1" ht="15.6">
      <c r="A112" s="72" t="s">
        <v>59</v>
      </c>
      <c r="B112" s="4"/>
      <c r="C112" s="4"/>
      <c r="D112" s="31">
        <f>(D91-D89)/(2*PI()*1000*D107*D91*D89*1000)*1000000000</f>
        <v>5.6826558862280905</v>
      </c>
      <c r="E112" s="4" t="s">
        <v>68</v>
      </c>
      <c r="F112" s="4"/>
      <c r="S112" s="45"/>
    </row>
    <row r="113" spans="1:29" ht="15.6">
      <c r="A113" s="72"/>
      <c r="B113" s="4"/>
      <c r="C113" s="4"/>
      <c r="D113" s="1">
        <v>5.6</v>
      </c>
      <c r="E113" s="4" t="s">
        <v>68</v>
      </c>
      <c r="F113" s="4"/>
    </row>
    <row r="114" spans="1:29" s="21" customFormat="1" ht="15.6">
      <c r="A114" s="72" t="s">
        <v>60</v>
      </c>
      <c r="B114" s="4"/>
      <c r="C114" s="4"/>
      <c r="D114" s="33">
        <f>1/(2*PI()*1000*D110*D88*1000)*1000000000</f>
        <v>16.803881904255569</v>
      </c>
      <c r="E114" s="4" t="s">
        <v>68</v>
      </c>
      <c r="F114" s="4"/>
      <c r="S114" s="45"/>
    </row>
    <row r="115" spans="1:29" ht="15.6">
      <c r="A115" s="72"/>
      <c r="B115" s="4"/>
      <c r="C115" s="4"/>
      <c r="D115" s="1">
        <v>10</v>
      </c>
      <c r="E115" s="4" t="s">
        <v>68</v>
      </c>
      <c r="F115" s="4"/>
    </row>
    <row r="116" spans="1:29" s="21" customFormat="1" ht="15.6">
      <c r="A116" s="72" t="s">
        <v>61</v>
      </c>
      <c r="B116" s="4"/>
      <c r="C116" s="4"/>
      <c r="D116" s="33">
        <f>1000*D114/(2*PI()*D90*1000*D110*D114/1000000000*1000-1)</f>
        <v>68.613979165271914</v>
      </c>
      <c r="E116" s="4" t="s">
        <v>69</v>
      </c>
      <c r="F116" s="4"/>
      <c r="S116" s="45"/>
    </row>
    <row r="117" spans="1:29" ht="15.6">
      <c r="A117" s="72"/>
      <c r="B117" s="4"/>
      <c r="C117" s="4"/>
      <c r="D117" s="1">
        <v>100</v>
      </c>
      <c r="E117" s="4" t="s">
        <v>69</v>
      </c>
      <c r="F117" s="4"/>
      <c r="S117" s="45"/>
    </row>
    <row r="118" spans="1:29" ht="15.6">
      <c r="A118" s="4"/>
      <c r="R118" s="3"/>
      <c r="S118" s="58"/>
    </row>
    <row r="119" spans="1:29" ht="45.75" customHeight="1">
      <c r="A119" s="6" t="s">
        <v>24</v>
      </c>
      <c r="S119" s="74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</row>
    <row r="120" spans="1:29">
      <c r="B120" t="s">
        <v>11</v>
      </c>
      <c r="C120" s="3" t="s">
        <v>12</v>
      </c>
      <c r="D120" t="s">
        <v>13</v>
      </c>
      <c r="E120" t="s">
        <v>14</v>
      </c>
      <c r="F120" t="s">
        <v>15</v>
      </c>
      <c r="G120" s="3" t="s">
        <v>16</v>
      </c>
      <c r="H120" s="3" t="s">
        <v>17</v>
      </c>
      <c r="I120" s="3" t="s">
        <v>18</v>
      </c>
      <c r="J120" s="3" t="s">
        <v>21</v>
      </c>
      <c r="K120" s="3" t="s">
        <v>23</v>
      </c>
      <c r="L120" s="3" t="s">
        <v>19</v>
      </c>
      <c r="M120" s="3" t="s">
        <v>20</v>
      </c>
      <c r="Q120" s="62" t="s">
        <v>112</v>
      </c>
      <c r="R120" s="62" t="s">
        <v>113</v>
      </c>
      <c r="S120" s="3" t="s">
        <v>17</v>
      </c>
      <c r="T120" s="3" t="s">
        <v>18</v>
      </c>
      <c r="U120" s="3" t="s">
        <v>21</v>
      </c>
      <c r="V120" s="3" t="s">
        <v>23</v>
      </c>
      <c r="W120" s="3" t="s">
        <v>19</v>
      </c>
      <c r="X120" s="3" t="s">
        <v>20</v>
      </c>
    </row>
    <row r="121" spans="1:29" ht="15.6">
      <c r="A121" s="78">
        <v>2</v>
      </c>
      <c r="B121" s="79">
        <f>10^A121</f>
        <v>100</v>
      </c>
      <c r="C121" s="79">
        <f>2*PI()*B121</f>
        <v>628.31853071795865</v>
      </c>
      <c r="D121" s="79" t="str">
        <f>COMPLEX(0,C121)</f>
        <v>628.318530717959i</v>
      </c>
      <c r="E121" s="80" t="str">
        <f t="shared" ref="E121:E161" si="0">IMPRODUCT(D$73,D$74,IMDIV(D$79,IMSUM(D$79,D$35)),IMDIV(IMSUM(1,IMDIV(D121,2*PI()*D$76*1000)),IMSUM(1,IMDIV(D121,2*PI()*D$77*1000*D$78),IMDIV(IMPOWER(D121,2),IMPOWER(2*PI()*D$77*1000,2)))))</f>
        <v>4.93360858806748-0.027858006361357i</v>
      </c>
      <c r="F121" s="79">
        <f>20*LOG10(IMABS(E121))</f>
        <v>13.863432295714166</v>
      </c>
      <c r="G121" s="78">
        <f>IMARGUMENT(E121)*180/PI()</f>
        <v>-0.32352165726731436</v>
      </c>
      <c r="H121" s="78" t="str">
        <f>IMDIV(IMPRODUCT(IMSUM(IMPRODUCT(D121,$D$111*1000*$D$115/1000000000),1),IMSUM(IMPRODUCT(D121,$D$113/1000000000*$D$107*1000+$D$113/1000000000*$D$109),1)),IMPRODUCT(IMPRODUCT(D121,$D$107*1000),IMSUM(IMPRODUCT(D121,$D$109*$D$113/1000000000),1),IMSUM(IMPRODUCT(D121,$D$111*1000*$D$115/1000000000*$D$117/1000000000000),$D$115/1000000000+$D$117/1000000000000)))</f>
        <v>1.47594458472414-31.5001028540815i</v>
      </c>
      <c r="I121" s="78">
        <f t="shared" ref="I121:I161" si="1">20*LOG10(IMABS(H121))</f>
        <v>29.975763542088313</v>
      </c>
      <c r="J121" s="78">
        <f>IMARGUMENT(H121)*180/PI()</f>
        <v>-87.317355058512518</v>
      </c>
      <c r="K121" s="78" t="str">
        <f>IMPRODUCT(E121,H121)</f>
        <v>6.4042028130143-155.450294839536i</v>
      </c>
      <c r="L121" s="79">
        <f>20*LOG10(IMABS(K121))</f>
        <v>43.839195837802492</v>
      </c>
      <c r="M121" s="78">
        <f>IMARGUMENT(K121)*180/PI()+180</f>
        <v>92.359123284220175</v>
      </c>
      <c r="N121" s="78"/>
      <c r="O121" s="81">
        <v>200</v>
      </c>
      <c r="P121" s="81">
        <f>IF(B12="FAN251015",2200,IF(B12="FAN251030",1800,1400))</f>
        <v>1400</v>
      </c>
      <c r="Q121" s="79">
        <f t="shared" ref="Q121:Q160" si="2">8500000/B121</f>
        <v>85000</v>
      </c>
      <c r="R121" s="79">
        <f>20*LOG10(Q121)</f>
        <v>98.588378514285864</v>
      </c>
      <c r="S121" s="78" t="str">
        <f>IMDIV(IMPRODUCT(IMSUM(IMPRODUCT(D121,$D$110*1000*$D$114/1000000000),1),IMSUM(IMPRODUCT(D121,$D$112/1000000000*$D$107*1000+$D$112/1000000000*$D$108),1)),IMPRODUCT(IMPRODUCT(D121,$D$107*1000),IMSUM(IMPRODUCT(D121,$D$108*$D$112/1000000000),1),IMSUM(IMPRODUCT(D121,$D$110*1000*$D$114/1000000000*$D$116/1000000000000),$D$114/1000000000+$D$116/1000000000000)))</f>
        <v>1.24274301707577-18.8496889093662i</v>
      </c>
      <c r="T121" s="78">
        <f>20*LOG10(IMABS(S121))</f>
        <v>25.524920078846101</v>
      </c>
      <c r="U121" s="78">
        <f>IMARGUMENT(S121)*180/PI()</f>
        <v>-86.227999710412874</v>
      </c>
      <c r="V121" s="78" t="str">
        <f>IMPRODUCT(E121,S121)</f>
        <v>5.60609286825919-93.0316074285246i</v>
      </c>
      <c r="W121" s="79">
        <f>20*LOG10(IMABS(V121))</f>
        <v>39.388352374560263</v>
      </c>
      <c r="X121" s="78">
        <f>IMARGUMENT(V121)*180/PI()+180</f>
        <v>93.448478632319834</v>
      </c>
      <c r="Y121" s="78"/>
    </row>
    <row r="122" spans="1:29">
      <c r="A122" s="78">
        <v>2.1</v>
      </c>
      <c r="B122" s="79">
        <f t="shared" ref="B122:B161" si="3">10^A122</f>
        <v>125.89254117941677</v>
      </c>
      <c r="C122" s="79">
        <f t="shared" ref="C122:C161" si="4">2*PI()*B122</f>
        <v>791.0061650220124</v>
      </c>
      <c r="D122" s="79" t="str">
        <f t="shared" ref="D122:D161" si="5">COMPLEX(0,C122)</f>
        <v>791.006165022012i</v>
      </c>
      <c r="E122" s="80" t="str">
        <f t="shared" si="0"/>
        <v>4.93411940670987-0.0350791200762203i</v>
      </c>
      <c r="F122" s="79">
        <f t="shared" ref="F122:F161" si="6">20*LOG10(IMABS(E122))</f>
        <v>13.864412614476006</v>
      </c>
      <c r="G122" s="78">
        <f t="shared" ref="G122:G161" si="7">IMARGUMENT(E122)*180/PI()</f>
        <v>-0.4073374601519662</v>
      </c>
      <c r="H122" s="78" t="str">
        <f t="shared" ref="H122:H161" si="8">IMDIV(IMPRODUCT(IMSUM(IMPRODUCT(D122,$D$111*1000*$D$115/1000000000),1),IMSUM(IMPRODUCT(D122,$D$113/1000000000*$D$107*1000+$D$113/1000000000*$D$109),1)),IMPRODUCT(IMPRODUCT(D122,$D$107*1000),IMSUM(IMPRODUCT(D122,$D$109*$D$113/1000000000),1),IMSUM(IMPRODUCT(D122,$D$111*1000*$D$115/1000000000*$D$117/1000000000000),$D$115/1000000000+$D$117/1000000000000)))</f>
        <v>1.47595093241379-25.0141141637842i</v>
      </c>
      <c r="I122" s="78">
        <f t="shared" si="1"/>
        <v>27.978796504981894</v>
      </c>
      <c r="J122" s="78">
        <f>IMARGUMENT(H122)*180/PI()</f>
        <v>-86.623193491661411</v>
      </c>
      <c r="K122" s="78" t="str">
        <f>IMPRODUCT(E122,H122)</f>
        <v>6.40504502462274-123.474401197169i</v>
      </c>
      <c r="L122" s="79">
        <f>20*LOG10(IMABS(K122))</f>
        <v>41.843209119457931</v>
      </c>
      <c r="M122" s="78">
        <f t="shared" ref="M122:M161" si="9">IMARGUMENT(K122)*180/PI()+180</f>
        <v>92.969469048186625</v>
      </c>
      <c r="N122" s="78"/>
      <c r="O122" s="78"/>
      <c r="P122" s="78"/>
      <c r="Q122" s="79">
        <f t="shared" si="2"/>
        <v>67517.899951563901</v>
      </c>
      <c r="R122" s="79">
        <f t="shared" ref="R122:R161" si="10">20*LOG10(Q122)</f>
        <v>96.58837851428585</v>
      </c>
      <c r="S122" s="78" t="str">
        <f t="shared" ref="S122:S161" si="11">IMDIV(IMPRODUCT(IMSUM(IMPRODUCT(D122,$D$110*1000*$D$114/1000000000),1),IMSUM(IMPRODUCT(D122,$D$112/1000000000*$D$107*1000+$D$112/1000000000*$D$108),1)),IMPRODUCT(IMPRODUCT(D122,$D$107*1000),IMSUM(IMPRODUCT(D122,$D$108*$D$112/1000000000),1),IMSUM(IMPRODUCT(D122,$D$110*1000*$D$114/1000000000*$D$116/1000000000000),$D$114/1000000000+$D$116/1000000000000)))</f>
        <v>1.24274700403579-14.9654443499674i</v>
      </c>
      <c r="T122" s="78">
        <f t="shared" ref="T122:T161" si="12">20*LOG10(IMABS(S122))</f>
        <v>23.531637726454171</v>
      </c>
      <c r="U122" s="78">
        <f t="shared" ref="U122:U161" si="13">IMARGUMENT(S122)*180/PI()</f>
        <v>-85.252986809197694</v>
      </c>
      <c r="V122" s="78" t="str">
        <f t="shared" ref="V122:V161" si="14">IMPRODUCT(E122,S122)</f>
        <v>5.60688749089704-73.8848838685897i</v>
      </c>
      <c r="W122" s="79">
        <f t="shared" ref="W122:W161" si="15">20*LOG10(IMABS(V122))</f>
        <v>37.396050340930181</v>
      </c>
      <c r="X122" s="78">
        <f t="shared" ref="X122:X161" si="16">IMARGUMENT(V122)*180/PI()+180</f>
        <v>94.339675730650328</v>
      </c>
      <c r="Y122" s="78"/>
    </row>
    <row r="123" spans="1:29">
      <c r="A123" s="78">
        <v>2.2000000000000002</v>
      </c>
      <c r="B123" s="79">
        <f t="shared" si="3"/>
        <v>158.48931924611153</v>
      </c>
      <c r="C123" s="79">
        <f t="shared" si="4"/>
        <v>995.81776203206277</v>
      </c>
      <c r="D123" s="79" t="str">
        <f t="shared" si="5"/>
        <v>995.817762032063i</v>
      </c>
      <c r="E123" s="80" t="str">
        <f t="shared" si="0"/>
        <v>4.93492916920853-0.044177900396914i</v>
      </c>
      <c r="F123" s="79">
        <f t="shared" si="6"/>
        <v>13.865966501685827</v>
      </c>
      <c r="G123" s="78">
        <f t="shared" si="7"/>
        <v>-0.51290292932998971</v>
      </c>
      <c r="H123" s="78" t="str">
        <f t="shared" si="8"/>
        <v>1.47596099282031-19.8602182720838i</v>
      </c>
      <c r="I123" s="78">
        <f t="shared" si="1"/>
        <v>25.98360080183944</v>
      </c>
      <c r="J123" s="78">
        <f t="shared" ref="J123:J161" si="17">IMARGUMENT(H123)*180/PI()</f>
        <v>-85.749736516370007</v>
      </c>
      <c r="K123" s="78" t="str">
        <f t="shared" ref="K123:K161" si="18">IMPRODUCT(E123,H123)</f>
        <v>6.40638021139784-98.0739753154851i</v>
      </c>
      <c r="L123" s="79">
        <f t="shared" ref="L123:L161" si="19">20*LOG10(IMABS(K123))</f>
        <v>39.849567303525269</v>
      </c>
      <c r="M123" s="78">
        <f t="shared" si="9"/>
        <v>93.737360554300011</v>
      </c>
      <c r="N123" s="78"/>
      <c r="O123" s="78"/>
      <c r="P123" s="78"/>
      <c r="Q123" s="79">
        <f t="shared" si="2"/>
        <v>53631.374280816366</v>
      </c>
      <c r="R123" s="79">
        <f t="shared" si="10"/>
        <v>94.58837851428585</v>
      </c>
      <c r="S123" s="78" t="str">
        <f t="shared" si="11"/>
        <v>1.24275332294071-11.8781642759022i</v>
      </c>
      <c r="T123" s="78">
        <f t="shared" si="12"/>
        <v>21.54226783576496</v>
      </c>
      <c r="U123" s="78">
        <f t="shared" si="13"/>
        <v>-84.027157656105956</v>
      </c>
      <c r="V123" s="78" t="str">
        <f t="shared" si="14"/>
        <v>5.60814726523195-58.6728015943193i</v>
      </c>
      <c r="W123" s="79">
        <f t="shared" si="15"/>
        <v>35.408234337450793</v>
      </c>
      <c r="X123" s="78">
        <f t="shared" si="16"/>
        <v>95.459939414564076</v>
      </c>
      <c r="Y123" s="78"/>
    </row>
    <row r="124" spans="1:29">
      <c r="A124" s="78">
        <v>2.2999999999999998</v>
      </c>
      <c r="B124" s="79">
        <f t="shared" si="3"/>
        <v>199.52623149688802</v>
      </c>
      <c r="C124" s="79">
        <f t="shared" si="4"/>
        <v>1253.6602861381596</v>
      </c>
      <c r="D124" s="79" t="str">
        <f t="shared" si="5"/>
        <v>1253.66028613816i</v>
      </c>
      <c r="E124" s="80" t="str">
        <f t="shared" si="0"/>
        <v>4.93621298215781-0.0556484362984232i</v>
      </c>
      <c r="F124" s="79">
        <f t="shared" si="6"/>
        <v>13.868429715962829</v>
      </c>
      <c r="G124" s="78">
        <f t="shared" si="7"/>
        <v>-0.64589706400386493</v>
      </c>
      <c r="H124" s="78" t="str">
        <f t="shared" si="8"/>
        <v>1.47597693748104-15.7639514338939i</v>
      </c>
      <c r="I124" s="78">
        <f t="shared" si="1"/>
        <v>23.991208515082118</v>
      </c>
      <c r="J124" s="78">
        <f t="shared" si="17"/>
        <v>-84.650997236541613</v>
      </c>
      <c r="K124" s="78" t="str">
        <f t="shared" si="18"/>
        <v>6.40849727297895-77.8963575266756i</v>
      </c>
      <c r="L124" s="79">
        <f t="shared" si="19"/>
        <v>37.85963823104494</v>
      </c>
      <c r="M124" s="78">
        <f t="shared" si="9"/>
        <v>94.703105699454525</v>
      </c>
      <c r="N124" s="78"/>
      <c r="O124" s="78"/>
      <c r="P124" s="78"/>
      <c r="Q124" s="79">
        <f t="shared" si="2"/>
        <v>42600.91485831813</v>
      </c>
      <c r="R124" s="79">
        <f t="shared" si="10"/>
        <v>92.588378514285864</v>
      </c>
      <c r="S124" s="78" t="str">
        <f t="shared" si="11"/>
        <v>1.24276333772792-9.42343976732284i</v>
      </c>
      <c r="T124" s="78">
        <f t="shared" si="12"/>
        <v>19.559073802613064</v>
      </c>
      <c r="U124" s="78">
        <f t="shared" si="13"/>
        <v>-82.487186921684923</v>
      </c>
      <c r="V124" s="78" t="str">
        <f t="shared" si="14"/>
        <v>5.61014483383844-46.5852635524747i</v>
      </c>
      <c r="W124" s="79">
        <f t="shared" si="15"/>
        <v>33.427503518575882</v>
      </c>
      <c r="X124" s="78">
        <f t="shared" si="16"/>
        <v>96.866916014311229</v>
      </c>
      <c r="Y124" s="78"/>
    </row>
    <row r="125" spans="1:29">
      <c r="A125" s="78">
        <v>2.4</v>
      </c>
      <c r="B125" s="79">
        <f t="shared" si="3"/>
        <v>251.18864315095806</v>
      </c>
      <c r="C125" s="79">
        <f t="shared" si="4"/>
        <v>1578.2647919764759</v>
      </c>
      <c r="D125" s="79" t="str">
        <f t="shared" si="5"/>
        <v>1578.26479197648i</v>
      </c>
      <c r="E125" s="80" t="str">
        <f t="shared" si="0"/>
        <v>4.93824875866862-0.0701206556228768i</v>
      </c>
      <c r="F125" s="79">
        <f t="shared" si="6"/>
        <v>13.872334826026725</v>
      </c>
      <c r="G125" s="78">
        <f t="shared" si="7"/>
        <v>-0.81351666035302728</v>
      </c>
      <c r="H125" s="78" t="str">
        <f t="shared" si="8"/>
        <v>1.47600220804256-12.5071725127914i</v>
      </c>
      <c r="I125" s="78">
        <f t="shared" si="1"/>
        <v>22.003249431170772</v>
      </c>
      <c r="J125" s="78">
        <f t="shared" si="17"/>
        <v>-83.269513883450927</v>
      </c>
      <c r="K125" s="78" t="str">
        <f t="shared" si="18"/>
        <v>6.41185493507296-61.8670273782752i</v>
      </c>
      <c r="L125" s="79">
        <f t="shared" si="19"/>
        <v>35.875584257197502</v>
      </c>
      <c r="M125" s="78">
        <f t="shared" si="9"/>
        <v>95.916969456196028</v>
      </c>
      <c r="N125" s="78"/>
      <c r="O125" s="78"/>
      <c r="P125" s="78"/>
      <c r="Q125" s="79">
        <f t="shared" si="2"/>
        <v>33839.109497047262</v>
      </c>
      <c r="R125" s="79">
        <f t="shared" si="10"/>
        <v>90.58837851428585</v>
      </c>
      <c r="S125" s="78" t="str">
        <f t="shared" si="11"/>
        <v>1.24277921009051-7.47054779678006i</v>
      </c>
      <c r="T125" s="78">
        <f t="shared" si="12"/>
        <v>17.585605661118425</v>
      </c>
      <c r="U125" s="78">
        <f t="shared" si="13"/>
        <v>-80.554932092648855</v>
      </c>
      <c r="V125" s="78" t="str">
        <f t="shared" si="14"/>
        <v>5.61331318215637-36.9785678770298i</v>
      </c>
      <c r="W125" s="79">
        <f t="shared" si="15"/>
        <v>31.457940487145159</v>
      </c>
      <c r="X125" s="78">
        <f t="shared" si="16"/>
        <v>98.6315512469981</v>
      </c>
      <c r="Y125" s="78"/>
    </row>
    <row r="126" spans="1:29">
      <c r="A126" s="78">
        <v>2.5</v>
      </c>
      <c r="B126" s="79">
        <f t="shared" si="3"/>
        <v>316.22776601683825</v>
      </c>
      <c r="C126" s="79">
        <f t="shared" si="4"/>
        <v>1986.917653159222</v>
      </c>
      <c r="D126" s="79" t="str">
        <f t="shared" si="5"/>
        <v>1986.91765315922i</v>
      </c>
      <c r="E126" s="80" t="str">
        <f t="shared" si="0"/>
        <v>4.94147793638361-0.0884034332351155i</v>
      </c>
      <c r="F126" s="79">
        <f t="shared" si="6"/>
        <v>13.878526970331846</v>
      </c>
      <c r="G126" s="78">
        <f t="shared" si="7"/>
        <v>-1.0249167178385967</v>
      </c>
      <c r="H126" s="78" t="str">
        <f t="shared" si="8"/>
        <v>1.47604225912633-9.91644617492252i</v>
      </c>
      <c r="I126" s="78">
        <f t="shared" si="1"/>
        <v>20.022291724352826</v>
      </c>
      <c r="J126" s="78">
        <f t="shared" si="17"/>
        <v>-81.533802791482998</v>
      </c>
      <c r="K126" s="78" t="str">
        <f t="shared" si="18"/>
        <v>6.4171823692882-49.1323871840222i</v>
      </c>
      <c r="L126" s="79">
        <f t="shared" si="19"/>
        <v>33.900818694684681</v>
      </c>
      <c r="M126" s="78">
        <f t="shared" si="9"/>
        <v>97.441280490678395</v>
      </c>
      <c r="N126" s="78"/>
      <c r="O126" s="78"/>
      <c r="P126" s="78"/>
      <c r="Q126" s="79">
        <f t="shared" si="2"/>
        <v>26879.360111431197</v>
      </c>
      <c r="R126" s="79">
        <f t="shared" si="10"/>
        <v>88.588378514285836</v>
      </c>
      <c r="S126" s="78" t="str">
        <f t="shared" si="11"/>
        <v>1.24280436607614-5.91548975322903i</v>
      </c>
      <c r="T126" s="78">
        <f t="shared" si="12"/>
        <v>15.62739799625704</v>
      </c>
      <c r="U126" s="78">
        <f t="shared" si="13"/>
        <v>-78.135104752293131</v>
      </c>
      <c r="V126" s="78" t="str">
        <f t="shared" si="14"/>
        <v>5.61834075075387-29.3411302712853i</v>
      </c>
      <c r="W126" s="79">
        <f t="shared" si="15"/>
        <v>29.505924966588886</v>
      </c>
      <c r="X126" s="78">
        <f t="shared" si="16"/>
        <v>100.83997852986826</v>
      </c>
      <c r="Y126" s="78"/>
    </row>
    <row r="127" spans="1:29">
      <c r="A127" s="78">
        <v>2.6</v>
      </c>
      <c r="B127" s="79">
        <f t="shared" si="3"/>
        <v>398.10717055349761</v>
      </c>
      <c r="C127" s="79">
        <f t="shared" si="4"/>
        <v>2501.3811247045737</v>
      </c>
      <c r="D127" s="79" t="str">
        <f t="shared" si="5"/>
        <v>2501.38112470457i</v>
      </c>
      <c r="E127" s="80" t="str">
        <f t="shared" si="0"/>
        <v>4.94660259911489-0.111546904756316i</v>
      </c>
      <c r="F127" s="79">
        <f t="shared" si="6"/>
        <v>13.888348304252139</v>
      </c>
      <c r="G127" s="78">
        <f t="shared" si="7"/>
        <v>-1.2918126602676747</v>
      </c>
      <c r="H127" s="78" t="str">
        <f t="shared" si="8"/>
        <v>1.47610573567282-7.85380683477005i</v>
      </c>
      <c r="I127" s="78">
        <f t="shared" si="1"/>
        <v>18.052368705793267</v>
      </c>
      <c r="J127" s="78">
        <f t="shared" si="17"/>
        <v>-79.355560919991049</v>
      </c>
      <c r="K127" s="78" t="str">
        <f t="shared" si="18"/>
        <v>6.42564062567497-39.0143163277272i</v>
      </c>
      <c r="L127" s="79">
        <f t="shared" si="19"/>
        <v>31.940717010045418</v>
      </c>
      <c r="M127" s="78">
        <f t="shared" si="9"/>
        <v>99.35262641974127</v>
      </c>
      <c r="N127" s="78"/>
      <c r="O127" s="78"/>
      <c r="P127" s="78"/>
      <c r="Q127" s="79">
        <f t="shared" si="2"/>
        <v>21351.034667831413</v>
      </c>
      <c r="R127" s="79">
        <f t="shared" si="10"/>
        <v>86.58837851428585</v>
      </c>
      <c r="S127" s="78" t="str">
        <f t="shared" si="11"/>
        <v>1.24284423559186-4.67545314055291i</v>
      </c>
      <c r="T127" s="78">
        <f t="shared" si="12"/>
        <v>13.692998103607191</v>
      </c>
      <c r="U127" s="78">
        <f t="shared" si="13"/>
        <v>-75.113707266041658</v>
      </c>
      <c r="V127" s="78" t="str">
        <f t="shared" si="14"/>
        <v>5.62632419991178-23.2662440846734i</v>
      </c>
      <c r="W127" s="79">
        <f t="shared" si="15"/>
        <v>27.581346407859332</v>
      </c>
      <c r="X127" s="78">
        <f t="shared" si="16"/>
        <v>103.59448007369066</v>
      </c>
      <c r="Y127" s="78"/>
    </row>
    <row r="128" spans="1:29">
      <c r="A128" s="78">
        <v>2.7</v>
      </c>
      <c r="B128" s="79">
        <f t="shared" si="3"/>
        <v>501.18723362727269</v>
      </c>
      <c r="C128" s="79">
        <f t="shared" si="4"/>
        <v>3149.0522624728624</v>
      </c>
      <c r="D128" s="79" t="str">
        <f t="shared" si="5"/>
        <v>3149.05226247286i</v>
      </c>
      <c r="E128" s="80" t="str">
        <f t="shared" si="0"/>
        <v>4.95474164684459-0.140937282335418i</v>
      </c>
      <c r="F128" s="79">
        <f t="shared" si="6"/>
        <v>13.903932800256387</v>
      </c>
      <c r="G128" s="78">
        <f t="shared" si="7"/>
        <v>-1.6293351279459505</v>
      </c>
      <c r="H128" s="78" t="str">
        <f t="shared" si="8"/>
        <v>1.47620633885868-6.20941150404431i</v>
      </c>
      <c r="I128" s="78">
        <f t="shared" si="1"/>
        <v>16.099781301714366</v>
      </c>
      <c r="J128" s="78">
        <f t="shared" si="17"/>
        <v>-76.626932764731649</v>
      </c>
      <c r="K128" s="78" t="str">
        <f t="shared" si="18"/>
        <v>6.43908344419679-30.9740822910493i</v>
      </c>
      <c r="L128" s="79">
        <f t="shared" si="19"/>
        <v>30.003714101970751</v>
      </c>
      <c r="M128" s="78">
        <f t="shared" si="9"/>
        <v>101.74373210732239</v>
      </c>
      <c r="N128" s="78"/>
      <c r="O128" s="78"/>
      <c r="P128" s="78"/>
      <c r="Q128" s="79">
        <f t="shared" si="2"/>
        <v>16959.729677235464</v>
      </c>
      <c r="R128" s="79">
        <f t="shared" si="10"/>
        <v>84.58837851428585</v>
      </c>
      <c r="S128" s="78" t="str">
        <f t="shared" si="11"/>
        <v>1.24290742442888-3.6844015177384i</v>
      </c>
      <c r="T128" s="78">
        <f t="shared" si="12"/>
        <v>11.795412613958716</v>
      </c>
      <c r="U128" s="78">
        <f t="shared" si="13"/>
        <v>-71.358532137147421</v>
      </c>
      <c r="V128" s="78" t="str">
        <f t="shared" si="14"/>
        <v>5.63901564204758-18.4304296382294i</v>
      </c>
      <c r="W128" s="79">
        <f t="shared" si="15"/>
        <v>25.699345414215109</v>
      </c>
      <c r="X128" s="78">
        <f t="shared" si="16"/>
        <v>107.01213273490661</v>
      </c>
      <c r="Y128" s="78"/>
    </row>
    <row r="129" spans="1:25">
      <c r="A129" s="78">
        <v>2.8</v>
      </c>
      <c r="B129" s="79">
        <f t="shared" si="3"/>
        <v>630.95734448019323</v>
      </c>
      <c r="C129" s="79">
        <f t="shared" si="4"/>
        <v>3964.4219162949989</v>
      </c>
      <c r="D129" s="79" t="str">
        <f t="shared" si="5"/>
        <v>3964.421916295i</v>
      </c>
      <c r="E129" s="80" t="str">
        <f t="shared" si="0"/>
        <v>4.96768396839341-0.178449898364459i</v>
      </c>
      <c r="F129" s="79">
        <f t="shared" si="6"/>
        <v>13.928679714066517</v>
      </c>
      <c r="G129" s="78">
        <f t="shared" si="7"/>
        <v>-2.0573030868829769</v>
      </c>
      <c r="H129" s="78" t="str">
        <f t="shared" si="8"/>
        <v>1.47636578325752-4.8956902907473i</v>
      </c>
      <c r="I129" s="78">
        <f t="shared" si="1"/>
        <v>14.174291642893934</v>
      </c>
      <c r="J129" s="78">
        <f t="shared" si="17"/>
        <v>-73.218559936362198</v>
      </c>
      <c r="K129" s="78" t="str">
        <f t="shared" si="18"/>
        <v>6.46048319816524-24.5836994955357i</v>
      </c>
      <c r="L129" s="79">
        <f t="shared" si="19"/>
        <v>28.102971356960452</v>
      </c>
      <c r="M129" s="78">
        <f t="shared" si="9"/>
        <v>104.72413697675482</v>
      </c>
      <c r="N129" s="78"/>
      <c r="O129" s="78"/>
      <c r="P129" s="78"/>
      <c r="Q129" s="79">
        <f t="shared" si="2"/>
        <v>13471.592135919465</v>
      </c>
      <c r="R129" s="79">
        <f t="shared" si="10"/>
        <v>82.588378514285864</v>
      </c>
      <c r="S129" s="78" t="str">
        <f t="shared" si="11"/>
        <v>1.24300757176794-2.88955783269442i</v>
      </c>
      <c r="T129" s="78">
        <f t="shared" si="12"/>
        <v>9.9539878158819466</v>
      </c>
      <c r="U129" s="78">
        <f t="shared" si="13"/>
        <v>-66.723966949196978</v>
      </c>
      <c r="V129" s="78" t="str">
        <f t="shared" si="14"/>
        <v>5.65922748530067-14.5762246960699i</v>
      </c>
      <c r="W129" s="79">
        <f t="shared" si="15"/>
        <v>23.882667529948453</v>
      </c>
      <c r="X129" s="78">
        <f t="shared" si="16"/>
        <v>111.21872996392005</v>
      </c>
      <c r="Y129" s="78"/>
    </row>
    <row r="130" spans="1:25">
      <c r="A130" s="78">
        <v>2.9</v>
      </c>
      <c r="B130" s="79">
        <f t="shared" si="3"/>
        <v>794.32823472428208</v>
      </c>
      <c r="C130" s="79">
        <f t="shared" si="4"/>
        <v>4990.9114934975069</v>
      </c>
      <c r="D130" s="79" t="str">
        <f t="shared" si="5"/>
        <v>4990.91149349751i</v>
      </c>
      <c r="E130" s="80" t="str">
        <f t="shared" si="0"/>
        <v>4.98830401420887-0.226712374671151i</v>
      </c>
      <c r="F130" s="79">
        <f t="shared" si="6"/>
        <v>13.96801977885495</v>
      </c>
      <c r="G130" s="78">
        <f t="shared" si="7"/>
        <v>-2.6022330396862823</v>
      </c>
      <c r="H130" s="78" t="str">
        <f t="shared" si="8"/>
        <v>1.47661848332505-3.84268306038236i</v>
      </c>
      <c r="I130" s="78">
        <f t="shared" si="1"/>
        <v>12.290829694433672</v>
      </c>
      <c r="J130" s="78">
        <f t="shared" si="17"/>
        <v>-68.979851207161261</v>
      </c>
      <c r="K130" s="78" t="str">
        <f t="shared" si="18"/>
        <v>6.49463810609747-19.5032390182757i</v>
      </c>
      <c r="L130" s="79">
        <f t="shared" si="19"/>
        <v>26.258849473288631</v>
      </c>
      <c r="M130" s="78">
        <f t="shared" si="9"/>
        <v>108.41791575315246</v>
      </c>
      <c r="N130" s="78"/>
      <c r="O130" s="78"/>
      <c r="P130" s="78"/>
      <c r="Q130" s="79">
        <f t="shared" si="2"/>
        <v>10700.866000250413</v>
      </c>
      <c r="R130" s="79">
        <f t="shared" si="10"/>
        <v>80.58837851428585</v>
      </c>
      <c r="S130" s="78" t="str">
        <f t="shared" si="11"/>
        <v>1.24316629405482-2.24859388191553i</v>
      </c>
      <c r="T130" s="78">
        <f t="shared" si="12"/>
        <v>8.1965163251342439</v>
      </c>
      <c r="U130" s="78">
        <f t="shared" si="13"/>
        <v>-61.063380031206485</v>
      </c>
      <c r="V130" s="78" t="str">
        <f t="shared" si="14"/>
        <v>5.69150735632273-11.498511070121i</v>
      </c>
      <c r="W130" s="79">
        <f t="shared" si="15"/>
        <v>22.164536103989168</v>
      </c>
      <c r="X130" s="78">
        <f t="shared" si="16"/>
        <v>116.33438692910732</v>
      </c>
      <c r="Y130" s="78"/>
    </row>
    <row r="131" spans="1:25">
      <c r="A131" s="78">
        <v>3</v>
      </c>
      <c r="B131" s="79">
        <f t="shared" si="3"/>
        <v>1000</v>
      </c>
      <c r="C131" s="79">
        <f t="shared" si="4"/>
        <v>6283.1853071795858</v>
      </c>
      <c r="D131" s="79" t="str">
        <f t="shared" si="5"/>
        <v>6283.18530717959i</v>
      </c>
      <c r="E131" s="80" t="str">
        <f t="shared" si="0"/>
        <v>5.0212568054371-0.289587429554767i</v>
      </c>
      <c r="F131" s="79">
        <f t="shared" si="6"/>
        <v>14.030669740944983</v>
      </c>
      <c r="G131" s="78">
        <f t="shared" si="7"/>
        <v>-3.3007231275703384</v>
      </c>
      <c r="H131" s="78" t="str">
        <f t="shared" si="8"/>
        <v>1.47701898022791-2.99431395787829i</v>
      </c>
      <c r="I131" s="78">
        <f t="shared" si="1"/>
        <v>10.471775256801759</v>
      </c>
      <c r="J131" s="78">
        <f t="shared" si="17"/>
        <v>-63.744047594005025</v>
      </c>
      <c r="K131" s="78" t="str">
        <f t="shared" si="18"/>
        <v>6.54937592388722-15.4629454684995i</v>
      </c>
      <c r="L131" s="79">
        <f t="shared" si="19"/>
        <v>24.50244499774676</v>
      </c>
      <c r="M131" s="78">
        <f t="shared" si="9"/>
        <v>112.95522927842458</v>
      </c>
      <c r="N131" s="78"/>
      <c r="O131" s="78"/>
      <c r="P131" s="78"/>
      <c r="Q131" s="79">
        <f t="shared" si="2"/>
        <v>8500</v>
      </c>
      <c r="R131" s="79">
        <f t="shared" si="10"/>
        <v>78.588378514285864</v>
      </c>
      <c r="S131" s="78" t="str">
        <f t="shared" si="11"/>
        <v>1.24341785054763-1.72737623943072i</v>
      </c>
      <c r="T131" s="78">
        <f t="shared" si="12"/>
        <v>6.560902085825453</v>
      </c>
      <c r="U131" s="78">
        <f t="shared" si="13"/>
        <v>-54.252514721947165</v>
      </c>
      <c r="V131" s="78" t="str">
        <f t="shared" si="14"/>
        <v>5.74329389901354-9.03367787699445i</v>
      </c>
      <c r="W131" s="79">
        <f t="shared" si="15"/>
        <v>20.591571826770437</v>
      </c>
      <c r="X131" s="78">
        <f t="shared" si="16"/>
        <v>122.44676215048251</v>
      </c>
      <c r="Y131" s="78"/>
    </row>
    <row r="132" spans="1:25">
      <c r="A132" s="78">
        <v>3.1</v>
      </c>
      <c r="B132" s="79">
        <f t="shared" si="3"/>
        <v>1258.925411794168</v>
      </c>
      <c r="C132" s="79">
        <f t="shared" si="4"/>
        <v>7910.0616502201265</v>
      </c>
      <c r="D132" s="79" t="str">
        <f t="shared" si="5"/>
        <v>7910.06165022013i</v>
      </c>
      <c r="E132" s="80" t="str">
        <f t="shared" si="0"/>
        <v>5.07417227155394-0.373119260815005i</v>
      </c>
      <c r="F132" s="79">
        <f t="shared" si="6"/>
        <v>14.130723660558491</v>
      </c>
      <c r="G132" s="78">
        <f t="shared" si="7"/>
        <v>-4.2055631846169126</v>
      </c>
      <c r="H132" s="78" t="str">
        <f t="shared" si="8"/>
        <v>1.47765371069059-2.3054054714689i</v>
      </c>
      <c r="I132" s="78">
        <f t="shared" si="1"/>
        <v>8.7496599054011437</v>
      </c>
      <c r="J132" s="78">
        <f t="shared" si="17"/>
        <v>-57.342087326392836</v>
      </c>
      <c r="K132" s="78" t="str">
        <f t="shared" si="18"/>
        <v>6.63767830035164-12.2493655782897i</v>
      </c>
      <c r="L132" s="79">
        <f t="shared" si="19"/>
        <v>22.880383565959658</v>
      </c>
      <c r="M132" s="78">
        <f t="shared" si="9"/>
        <v>118.45234948899017</v>
      </c>
      <c r="N132" s="78"/>
      <c r="O132" s="78"/>
      <c r="P132" s="78"/>
      <c r="Q132" s="79">
        <f t="shared" si="2"/>
        <v>6751.7899951563886</v>
      </c>
      <c r="R132" s="79">
        <f t="shared" si="10"/>
        <v>76.58837851428585</v>
      </c>
      <c r="S132" s="78" t="str">
        <f t="shared" si="11"/>
        <v>1.24381653725639-1.29814864738662i</v>
      </c>
      <c r="T132" s="78">
        <f t="shared" si="12"/>
        <v>5.095075627258141</v>
      </c>
      <c r="U132" s="78">
        <f t="shared" si="13"/>
        <v>-46.224456846518223</v>
      </c>
      <c r="V132" s="78" t="str">
        <f t="shared" si="14"/>
        <v>5.82697512050572-7.05112177789502i</v>
      </c>
      <c r="W132" s="79">
        <f t="shared" si="15"/>
        <v>19.225799287816628</v>
      </c>
      <c r="X132" s="78">
        <f t="shared" si="16"/>
        <v>129.56997996886489</v>
      </c>
      <c r="Y132" s="78"/>
    </row>
    <row r="133" spans="1:25">
      <c r="A133" s="78">
        <v>3.2</v>
      </c>
      <c r="B133" s="79">
        <f t="shared" si="3"/>
        <v>1584.8931924611156</v>
      </c>
      <c r="C133" s="79">
        <f t="shared" si="4"/>
        <v>9958.17762032063</v>
      </c>
      <c r="D133" s="79" t="str">
        <f t="shared" si="5"/>
        <v>9958.17762032063i</v>
      </c>
      <c r="E133" s="80" t="str">
        <f t="shared" si="0"/>
        <v>5.15978626522828-0.487526083911328i</v>
      </c>
      <c r="F133" s="79">
        <f t="shared" si="6"/>
        <v>14.291234053964718</v>
      </c>
      <c r="G133" s="78">
        <f t="shared" si="7"/>
        <v>-5.3976081656469299</v>
      </c>
      <c r="H133" s="78" t="str">
        <f t="shared" si="8"/>
        <v>1.47865965462986-1.73927317922177i</v>
      </c>
      <c r="I133" s="78">
        <f t="shared" si="1"/>
        <v>7.1696320595440266</v>
      </c>
      <c r="J133" s="78">
        <f t="shared" si="17"/>
        <v>-49.630157640889017</v>
      </c>
      <c r="K133" s="78" t="str">
        <f t="shared" si="18"/>
        <v>6.78162673498835-9.69516301248778i</v>
      </c>
      <c r="L133" s="79">
        <f t="shared" si="19"/>
        <v>21.460866113508743</v>
      </c>
      <c r="M133" s="78">
        <f t="shared" si="9"/>
        <v>124.97223419346406</v>
      </c>
      <c r="N133" s="78"/>
      <c r="O133" s="78"/>
      <c r="P133" s="78"/>
      <c r="Q133" s="79">
        <f t="shared" si="2"/>
        <v>5363.1374280816353</v>
      </c>
      <c r="R133" s="79">
        <f t="shared" si="10"/>
        <v>74.58837851428585</v>
      </c>
      <c r="S133" s="78" t="str">
        <f t="shared" si="11"/>
        <v>1.24444840440541-0.938054133494357i</v>
      </c>
      <c r="T133" s="78">
        <f t="shared" si="12"/>
        <v>3.8535552369561055</v>
      </c>
      <c r="U133" s="78">
        <f t="shared" si="13"/>
        <v>-37.008661894114837</v>
      </c>
      <c r="V133" s="78" t="str">
        <f t="shared" si="14"/>
        <v>5.96376192663694-5.44685989127427i</v>
      </c>
      <c r="W133" s="79">
        <f t="shared" si="15"/>
        <v>18.144789290920823</v>
      </c>
      <c r="X133" s="78">
        <f t="shared" si="16"/>
        <v>137.59372994023821</v>
      </c>
      <c r="Y133" s="78"/>
    </row>
    <row r="134" spans="1:25">
      <c r="A134" s="78">
        <v>3.3</v>
      </c>
      <c r="B134" s="79">
        <f t="shared" si="3"/>
        <v>1995.2623149688804</v>
      </c>
      <c r="C134" s="79">
        <f t="shared" si="4"/>
        <v>12536.602861381598</v>
      </c>
      <c r="D134" s="79" t="str">
        <f t="shared" si="5"/>
        <v>12536.6028613816i</v>
      </c>
      <c r="E134" s="80" t="str">
        <f t="shared" si="0"/>
        <v>5.29992899565351-0.651763979406194i</v>
      </c>
      <c r="F134" s="79">
        <f t="shared" si="6"/>
        <v>14.550588100022484</v>
      </c>
      <c r="G134" s="78">
        <f t="shared" si="7"/>
        <v>-7.0108045487302375</v>
      </c>
      <c r="H134" s="78" t="str">
        <f t="shared" si="8"/>
        <v>1.48025387778237-1.26577339424649i</v>
      </c>
      <c r="I134" s="78">
        <f t="shared" si="1"/>
        <v>5.79021064004362</v>
      </c>
      <c r="J134" s="78">
        <f t="shared" si="17"/>
        <v>-40.53393794097024</v>
      </c>
      <c r="K134" s="78" t="str">
        <f t="shared" si="18"/>
        <v>7.02025494332675-7.67328527200862i</v>
      </c>
      <c r="L134" s="79">
        <f t="shared" si="19"/>
        <v>20.340798740066106</v>
      </c>
      <c r="M134" s="78">
        <f t="shared" si="9"/>
        <v>132.45525751029953</v>
      </c>
      <c r="N134" s="78"/>
      <c r="O134" s="78"/>
      <c r="P134" s="78"/>
      <c r="Q134" s="79">
        <f t="shared" si="2"/>
        <v>4260.0914858318129</v>
      </c>
      <c r="R134" s="79">
        <f t="shared" si="10"/>
        <v>72.58837851428585</v>
      </c>
      <c r="S134" s="78" t="str">
        <f t="shared" si="11"/>
        <v>1.24544982449144-0.627918271527322i</v>
      </c>
      <c r="T134" s="78">
        <f t="shared" si="12"/>
        <v>2.8901485442691226</v>
      </c>
      <c r="U134" s="78">
        <f t="shared" si="13"/>
        <v>-26.755864796748387</v>
      </c>
      <c r="V134" s="78" t="str">
        <f t="shared" si="14"/>
        <v>6.19154112606125-4.13966158792958i</v>
      </c>
      <c r="W134" s="79">
        <f t="shared" si="15"/>
        <v>17.440736644291608</v>
      </c>
      <c r="X134" s="78">
        <f t="shared" si="16"/>
        <v>146.23333065452132</v>
      </c>
      <c r="Y134" s="78"/>
    </row>
    <row r="135" spans="1:25">
      <c r="A135" s="78">
        <v>3.4</v>
      </c>
      <c r="B135" s="79">
        <f t="shared" si="3"/>
        <v>2511.8864315095811</v>
      </c>
      <c r="C135" s="79">
        <f t="shared" si="4"/>
        <v>15782.647919764762</v>
      </c>
      <c r="D135" s="79" t="str">
        <f t="shared" si="5"/>
        <v>15782.6479197648i</v>
      </c>
      <c r="E135" s="80" t="str">
        <f t="shared" si="0"/>
        <v>5.53337211623338-0.90516737073221i</v>
      </c>
      <c r="F135" s="79">
        <f t="shared" si="6"/>
        <v>14.974484851590262</v>
      </c>
      <c r="G135" s="78">
        <f t="shared" si="7"/>
        <v>-9.2903485459386594</v>
      </c>
      <c r="H135" s="78" t="str">
        <f t="shared" si="8"/>
        <v>1.48278032377514-0.859700345947873i</v>
      </c>
      <c r="I135" s="78">
        <f t="shared" si="1"/>
        <v>4.6801072124809897</v>
      </c>
      <c r="J135" s="78">
        <f t="shared" si="17"/>
        <v>-30.104704140858242</v>
      </c>
      <c r="K135" s="78" t="str">
        <f t="shared" si="18"/>
        <v>7.42660259631765-6.09920628962915i</v>
      </c>
      <c r="L135" s="79">
        <f t="shared" si="19"/>
        <v>19.654592064071245</v>
      </c>
      <c r="M135" s="78">
        <f t="shared" si="9"/>
        <v>140.60494731320307</v>
      </c>
      <c r="N135" s="78"/>
      <c r="O135" s="78"/>
      <c r="P135" s="78"/>
      <c r="Q135" s="79">
        <f t="shared" si="2"/>
        <v>3383.9109497047252</v>
      </c>
      <c r="R135" s="79">
        <f t="shared" si="10"/>
        <v>70.58837851428585</v>
      </c>
      <c r="S135" s="78" t="str">
        <f t="shared" si="11"/>
        <v>1.24703691346799-0.351229026094787i</v>
      </c>
      <c r="T135" s="78">
        <f t="shared" si="12"/>
        <v>2.2491174425106424</v>
      </c>
      <c r="U135" s="78">
        <f t="shared" si="13"/>
        <v>-15.729919890413033</v>
      </c>
      <c r="V135" s="78" t="str">
        <f t="shared" si="14"/>
        <v>6.58239823082246-3.07225802357453i</v>
      </c>
      <c r="W135" s="79">
        <f t="shared" si="15"/>
        <v>17.223602294100903</v>
      </c>
      <c r="X135" s="78">
        <f t="shared" si="16"/>
        <v>154.97973156364833</v>
      </c>
      <c r="Y135" s="78"/>
    </row>
    <row r="136" spans="1:25">
      <c r="A136" s="78">
        <v>3.5</v>
      </c>
      <c r="B136" s="79">
        <f t="shared" si="3"/>
        <v>3162.2776601683804</v>
      </c>
      <c r="C136" s="79">
        <f t="shared" si="4"/>
        <v>19869.176531592209</v>
      </c>
      <c r="D136" s="79" t="str">
        <f t="shared" si="5"/>
        <v>19869.1765315922i</v>
      </c>
      <c r="E136" s="80" t="str">
        <f t="shared" si="0"/>
        <v>5.93144827942651-1.34174207567364i</v>
      </c>
      <c r="F136" s="79">
        <f t="shared" si="6"/>
        <v>15.679945101769936</v>
      </c>
      <c r="G136" s="78">
        <f t="shared" si="7"/>
        <v>-12.746254044614327</v>
      </c>
      <c r="H136" s="78" t="str">
        <f t="shared" si="8"/>
        <v>1.48678389963218-0.499448752382513i</v>
      </c>
      <c r="I136" s="78">
        <f t="shared" si="1"/>
        <v>3.9093076774927953</v>
      </c>
      <c r="J136" s="78">
        <f t="shared" si="17"/>
        <v>-18.568517318928563</v>
      </c>
      <c r="K136" s="78" t="str">
        <f t="shared" si="18"/>
        <v>8.14865039763801-4.9573349585516i</v>
      </c>
      <c r="L136" s="79">
        <f t="shared" si="19"/>
        <v>19.589252779262729</v>
      </c>
      <c r="M136" s="78">
        <f t="shared" si="9"/>
        <v>148.68522863645714</v>
      </c>
      <c r="N136" s="78"/>
      <c r="O136" s="78"/>
      <c r="P136" s="78"/>
      <c r="Q136" s="79">
        <f t="shared" si="2"/>
        <v>2687.9360111431215</v>
      </c>
      <c r="R136" s="79">
        <f t="shared" si="10"/>
        <v>68.58837851428585</v>
      </c>
      <c r="S136" s="78" t="str">
        <f t="shared" si="11"/>
        <v>1.24955214208586-0.0932593275326222i</v>
      </c>
      <c r="T136" s="78">
        <f t="shared" si="12"/>
        <v>1.9592118899865971</v>
      </c>
      <c r="U136" s="78">
        <f t="shared" si="13"/>
        <v>-4.2683113378413076</v>
      </c>
      <c r="V136" s="78" t="str">
        <f t="shared" si="14"/>
        <v>7.28652393952934-2.22973956261857i</v>
      </c>
      <c r="W136" s="79">
        <f t="shared" si="15"/>
        <v>17.639156991756536</v>
      </c>
      <c r="X136" s="78">
        <f t="shared" si="16"/>
        <v>162.98543461754437</v>
      </c>
      <c r="Y136" s="78"/>
    </row>
    <row r="137" spans="1:25">
      <c r="A137" s="78">
        <v>3.6</v>
      </c>
      <c r="B137" s="79">
        <f t="shared" si="3"/>
        <v>3981.0717055349769</v>
      </c>
      <c r="C137" s="79">
        <f t="shared" si="4"/>
        <v>25013.811247045742</v>
      </c>
      <c r="D137" s="79" t="str">
        <f t="shared" si="5"/>
        <v>25013.8112470457i</v>
      </c>
      <c r="E137" s="80" t="str">
        <f t="shared" si="0"/>
        <v>6.62043298233224-2.23284272357272i</v>
      </c>
      <c r="F137" s="79">
        <f t="shared" si="6"/>
        <v>16.885596948217263</v>
      </c>
      <c r="G137" s="78">
        <f t="shared" si="7"/>
        <v>-18.637468845064266</v>
      </c>
      <c r="H137" s="78" t="str">
        <f t="shared" si="8"/>
        <v>1.49312770527748-0.165872974317562i</v>
      </c>
      <c r="I137" s="78">
        <f t="shared" si="1"/>
        <v>3.5352081951324612</v>
      </c>
      <c r="J137" s="78">
        <f t="shared" si="17"/>
        <v>-6.3390506485947187</v>
      </c>
      <c r="K137" s="78" t="str">
        <f t="shared" si="18"/>
        <v>9.51478364311075-4.43207024214319i</v>
      </c>
      <c r="L137" s="79">
        <f t="shared" si="19"/>
        <v>20.420805143349725</v>
      </c>
      <c r="M137" s="78">
        <f t="shared" si="9"/>
        <v>155.02348050634103</v>
      </c>
      <c r="N137" s="78"/>
      <c r="O137" s="78"/>
      <c r="P137" s="78"/>
      <c r="Q137" s="79">
        <f t="shared" si="2"/>
        <v>2135.1034667831409</v>
      </c>
      <c r="R137" s="79">
        <f t="shared" si="10"/>
        <v>66.58837851428585</v>
      </c>
      <c r="S137" s="78" t="str">
        <f t="shared" si="11"/>
        <v>1.25353816444668+0.159713406173621i</v>
      </c>
      <c r="T137" s="78">
        <f t="shared" si="12"/>
        <v>2.0326855621014412</v>
      </c>
      <c r="U137" s="78">
        <f t="shared" si="13"/>
        <v>7.2609391423256238</v>
      </c>
      <c r="V137" s="78" t="str">
        <f t="shared" si="14"/>
        <v>8.6555803253468-1.74158166725301i</v>
      </c>
      <c r="W137" s="79">
        <f t="shared" si="15"/>
        <v>18.918282510318704</v>
      </c>
      <c r="X137" s="78">
        <f t="shared" si="16"/>
        <v>168.62347029726135</v>
      </c>
      <c r="Y137" s="78"/>
    </row>
    <row r="138" spans="1:25">
      <c r="A138" s="78">
        <v>3.7</v>
      </c>
      <c r="B138" s="79">
        <f t="shared" si="3"/>
        <v>5011.8723362727324</v>
      </c>
      <c r="C138" s="79">
        <f t="shared" si="4"/>
        <v>31490.522624728659</v>
      </c>
      <c r="D138" s="79" t="str">
        <f t="shared" si="5"/>
        <v>31490.5226247287i</v>
      </c>
      <c r="E138" s="80" t="str">
        <f t="shared" si="0"/>
        <v>7.63736323966548-4.57384131117903i</v>
      </c>
      <c r="F138" s="79">
        <f t="shared" si="6"/>
        <v>18.989956627751052</v>
      </c>
      <c r="G138" s="78">
        <f t="shared" si="7"/>
        <v>-30.916422641360299</v>
      </c>
      <c r="H138" s="78" t="str">
        <f t="shared" si="8"/>
        <v>1.50317835764627+0.158713196398836i</v>
      </c>
      <c r="I138" s="78">
        <f t="shared" si="1"/>
        <v>3.5883584491887879</v>
      </c>
      <c r="J138" s="78">
        <f t="shared" si="17"/>
        <v>6.0272475837635211</v>
      </c>
      <c r="K138" s="78" t="str">
        <f t="shared" si="18"/>
        <v>12.2062481056666-5.66314893844648i</v>
      </c>
      <c r="L138" s="79">
        <f t="shared" si="19"/>
        <v>22.578315076939827</v>
      </c>
      <c r="M138" s="78">
        <f t="shared" si="9"/>
        <v>155.11082494240318</v>
      </c>
      <c r="N138" s="78"/>
      <c r="O138" s="78"/>
      <c r="P138" s="78"/>
      <c r="Q138" s="79">
        <f t="shared" si="2"/>
        <v>1695.9729677235443</v>
      </c>
      <c r="R138" s="79">
        <f t="shared" si="10"/>
        <v>64.588378514285836</v>
      </c>
      <c r="S138" s="78" t="str">
        <f t="shared" si="11"/>
        <v>1.25985471426394+0.421130483503945i</v>
      </c>
      <c r="T138" s="78">
        <f t="shared" si="12"/>
        <v>2.4664253028185019</v>
      </c>
      <c r="U138" s="78">
        <f t="shared" si="13"/>
        <v>18.483188466695545</v>
      </c>
      <c r="V138" s="78" t="str">
        <f t="shared" si="14"/>
        <v>11.5481520848858-2.54604906436848i</v>
      </c>
      <c r="W138" s="79">
        <f t="shared" si="15"/>
        <v>21.456381930569538</v>
      </c>
      <c r="X138" s="78">
        <f t="shared" si="16"/>
        <v>167.56676582533524</v>
      </c>
      <c r="Y138" s="78"/>
    </row>
    <row r="139" spans="1:25">
      <c r="A139" s="78">
        <v>3.8</v>
      </c>
      <c r="B139" s="79">
        <f t="shared" si="3"/>
        <v>6309.5734448019384</v>
      </c>
      <c r="C139" s="79">
        <f t="shared" si="4"/>
        <v>39644.21916295003</v>
      </c>
      <c r="D139" s="79" t="str">
        <f t="shared" si="5"/>
        <v>39644.21916295i</v>
      </c>
      <c r="E139" s="80" t="str">
        <f t="shared" si="0"/>
        <v>5.26874178492304-11.2451115429498i</v>
      </c>
      <c r="F139" s="79">
        <f t="shared" si="6"/>
        <v>21.881186585578803</v>
      </c>
      <c r="G139" s="78">
        <f t="shared" si="7"/>
        <v>-64.895209232635835</v>
      </c>
      <c r="H139" s="78" t="str">
        <f t="shared" si="8"/>
        <v>1.51909852520468+0.491439815833991i</v>
      </c>
      <c r="I139" s="78">
        <f t="shared" si="1"/>
        <v>4.0639938180017223</v>
      </c>
      <c r="J139" s="78">
        <f t="shared" si="17"/>
        <v>17.92678495793653</v>
      </c>
      <c r="K139" s="78" t="str">
        <f t="shared" si="18"/>
        <v>13.5300334208608-14.4931628681977i</v>
      </c>
      <c r="L139" s="79">
        <f t="shared" si="19"/>
        <v>25.945180403580515</v>
      </c>
      <c r="M139" s="78">
        <f t="shared" si="9"/>
        <v>133.03157572530077</v>
      </c>
      <c r="N139" s="78"/>
      <c r="O139" s="78"/>
      <c r="P139" s="78"/>
      <c r="Q139" s="79">
        <f t="shared" si="2"/>
        <v>1347.1592135919452</v>
      </c>
      <c r="R139" s="79">
        <f t="shared" si="10"/>
        <v>62.588378514285843</v>
      </c>
      <c r="S139" s="78" t="str">
        <f t="shared" si="11"/>
        <v>1.26986358645793+0.70485265590795i</v>
      </c>
      <c r="T139" s="78">
        <f t="shared" si="12"/>
        <v>3.2415292870124777</v>
      </c>
      <c r="U139" s="78">
        <f t="shared" si="13"/>
        <v>29.03297778572345</v>
      </c>
      <c r="V139" s="78" t="str">
        <f t="shared" si="14"/>
        <v>14.6167300761524-10.5660710336535i</v>
      </c>
      <c r="W139" s="79">
        <f t="shared" si="15"/>
        <v>25.122715872591264</v>
      </c>
      <c r="X139" s="78">
        <f t="shared" si="16"/>
        <v>144.13776855308757</v>
      </c>
      <c r="Y139" s="78"/>
    </row>
    <row r="140" spans="1:25">
      <c r="A140" s="78">
        <v>3.9</v>
      </c>
      <c r="B140" s="79">
        <f t="shared" si="3"/>
        <v>7943.2823472428154</v>
      </c>
      <c r="C140" s="79">
        <f t="shared" si="4"/>
        <v>49909.114934975034</v>
      </c>
      <c r="D140" s="79" t="str">
        <f t="shared" si="5"/>
        <v>49909.114934975i</v>
      </c>
      <c r="E140" s="80" t="str">
        <f t="shared" si="0"/>
        <v>-5.08318947389163-7.28459729607574i</v>
      </c>
      <c r="F140" s="79">
        <f t="shared" si="6"/>
        <v>18.970999722856618</v>
      </c>
      <c r="G140" s="78">
        <f t="shared" si="7"/>
        <v>-124.90732161155529</v>
      </c>
      <c r="H140" s="78" t="str">
        <f t="shared" si="8"/>
        <v>1.54430759493648+0.849716243235137i</v>
      </c>
      <c r="I140" s="78">
        <f t="shared" si="1"/>
        <v>4.9232778415772334</v>
      </c>
      <c r="J140" s="78">
        <f t="shared" si="17"/>
        <v>28.820678863572443</v>
      </c>
      <c r="K140" s="78" t="str">
        <f t="shared" si="18"/>
        <v>-1.6601674631297-15.5689275937911i</v>
      </c>
      <c r="L140" s="79">
        <f t="shared" si="19"/>
        <v>23.894277564433853</v>
      </c>
      <c r="M140" s="78">
        <f t="shared" si="9"/>
        <v>83.913357252017164</v>
      </c>
      <c r="N140" s="78"/>
      <c r="O140" s="78"/>
      <c r="P140" s="78"/>
      <c r="Q140" s="79">
        <f t="shared" si="2"/>
        <v>1070.0866000250421</v>
      </c>
      <c r="R140" s="79">
        <f t="shared" si="10"/>
        <v>60.588378514285857</v>
      </c>
      <c r="S140" s="78" t="str">
        <f t="shared" si="11"/>
        <v>1.28572109414652+1.02586818830122i</v>
      </c>
      <c r="T140" s="78">
        <f t="shared" si="12"/>
        <v>4.322450135105175</v>
      </c>
      <c r="U140" s="78">
        <f t="shared" si="13"/>
        <v>38.586130369633352</v>
      </c>
      <c r="V140" s="78" t="str">
        <f t="shared" si="14"/>
        <v>0.937472698503165-14.5806427823003i</v>
      </c>
      <c r="W140" s="79">
        <f t="shared" si="15"/>
        <v>23.293449857961779</v>
      </c>
      <c r="X140" s="78">
        <f t="shared" si="16"/>
        <v>93.678808758078077</v>
      </c>
      <c r="Y140" s="78"/>
    </row>
    <row r="141" spans="1:25">
      <c r="A141" s="78">
        <v>4</v>
      </c>
      <c r="B141" s="79">
        <f t="shared" si="3"/>
        <v>10000</v>
      </c>
      <c r="C141" s="79">
        <f t="shared" si="4"/>
        <v>62831.853071795864</v>
      </c>
      <c r="D141" s="79" t="str">
        <f t="shared" si="5"/>
        <v>62831.8530717959i</v>
      </c>
      <c r="E141" s="80" t="str">
        <f t="shared" si="0"/>
        <v>-3.53373051234777-1.87788119165572i</v>
      </c>
      <c r="F141" s="79">
        <f t="shared" si="6"/>
        <v>12.044913926872294</v>
      </c>
      <c r="G141" s="78">
        <f t="shared" si="7"/>
        <v>-152.01310522000287</v>
      </c>
      <c r="H141" s="78" t="str">
        <f t="shared" si="8"/>
        <v>1.58420434680709+1.25200564037223i</v>
      </c>
      <c r="I141" s="78">
        <f t="shared" si="1"/>
        <v>6.1036430949823162</v>
      </c>
      <c r="J141" s="78">
        <f t="shared" si="17"/>
        <v>38.319516705759483</v>
      </c>
      <c r="K141" s="78" t="str">
        <f t="shared" si="18"/>
        <v>-3.2470333942043-7.39919807962313i</v>
      </c>
      <c r="L141" s="79">
        <f t="shared" si="19"/>
        <v>18.148557021854614</v>
      </c>
      <c r="M141" s="78">
        <f t="shared" si="9"/>
        <v>66.30641148575657</v>
      </c>
      <c r="N141" s="78"/>
      <c r="O141" s="78"/>
      <c r="P141" s="78"/>
      <c r="Q141" s="79">
        <f t="shared" si="2"/>
        <v>850</v>
      </c>
      <c r="R141" s="79">
        <f t="shared" si="10"/>
        <v>58.588378514285857</v>
      </c>
      <c r="S141" s="78" t="str">
        <f t="shared" si="11"/>
        <v>1.3108397777167+1.40103113915542i</v>
      </c>
      <c r="T141" s="78">
        <f t="shared" si="12"/>
        <v>5.6598813634465213</v>
      </c>
      <c r="U141" s="78">
        <f t="shared" si="13"/>
        <v>46.904840054537331</v>
      </c>
      <c r="V141" s="78" t="str">
        <f t="shared" si="14"/>
        <v>-2.00118449417272-7.41246784903122i</v>
      </c>
      <c r="W141" s="79">
        <f t="shared" si="15"/>
        <v>17.70479529031882</v>
      </c>
      <c r="X141" s="78">
        <f t="shared" si="16"/>
        <v>74.891734834534432</v>
      </c>
      <c r="Y141" s="78"/>
    </row>
    <row r="142" spans="1:25">
      <c r="A142" s="78">
        <v>4.0999999999999996</v>
      </c>
      <c r="B142" s="79">
        <f t="shared" si="3"/>
        <v>12589.254117941671</v>
      </c>
      <c r="C142" s="79">
        <f t="shared" si="4"/>
        <v>79100.616502201214</v>
      </c>
      <c r="D142" s="79" t="str">
        <f t="shared" si="5"/>
        <v>79100.6165022012i</v>
      </c>
      <c r="E142" s="80" t="str">
        <f t="shared" si="0"/>
        <v>-1.93741011071581-0.619362901473771i</v>
      </c>
      <c r="F142" s="79">
        <f t="shared" si="6"/>
        <v>6.1670319263936513</v>
      </c>
      <c r="G142" s="78">
        <f t="shared" si="7"/>
        <v>-162.27164925216763</v>
      </c>
      <c r="H142" s="78" t="str">
        <f t="shared" si="8"/>
        <v>1.64729373963789+1.71850555624496i</v>
      </c>
      <c r="I142" s="78">
        <f t="shared" si="1"/>
        <v>7.5334079836245067</v>
      </c>
      <c r="J142" s="78">
        <f t="shared" si="17"/>
        <v>46.212053226818988</v>
      </c>
      <c r="K142" s="78" t="str">
        <f t="shared" si="18"/>
        <v>-2.12710495897863-4.34972267015199i</v>
      </c>
      <c r="L142" s="79">
        <f t="shared" si="19"/>
        <v>13.700439910018167</v>
      </c>
      <c r="M142" s="78">
        <f t="shared" si="9"/>
        <v>63.940403974651389</v>
      </c>
      <c r="N142" s="78"/>
      <c r="O142" s="78"/>
      <c r="P142" s="78"/>
      <c r="Q142" s="79">
        <f t="shared" si="2"/>
        <v>675.17899951563936</v>
      </c>
      <c r="R142" s="79">
        <f t="shared" si="10"/>
        <v>56.588378514285857</v>
      </c>
      <c r="S142" s="78" t="str">
        <f t="shared" si="11"/>
        <v>1.35061564173312+1.84983966295301i</v>
      </c>
      <c r="T142" s="78">
        <f t="shared" si="12"/>
        <v>7.1983403075249752</v>
      </c>
      <c r="U142" s="78">
        <f t="shared" si="13"/>
        <v>53.865854510087047</v>
      </c>
      <c r="V142" s="78" t="str">
        <f t="shared" si="14"/>
        <v>-1.47097433907683-4.42041928884797i</v>
      </c>
      <c r="W142" s="79">
        <f t="shared" si="15"/>
        <v>13.365372233918622</v>
      </c>
      <c r="X142" s="78">
        <f t="shared" si="16"/>
        <v>71.594205257919413</v>
      </c>
      <c r="Y142" s="78"/>
    </row>
    <row r="143" spans="1:25">
      <c r="A143" s="78">
        <v>4.2</v>
      </c>
      <c r="B143" s="79">
        <f t="shared" si="3"/>
        <v>15848.931924611146</v>
      </c>
      <c r="C143" s="79">
        <f t="shared" si="4"/>
        <v>99581.776203206231</v>
      </c>
      <c r="D143" s="79" t="str">
        <f t="shared" si="5"/>
        <v>99581.7762032062i</v>
      </c>
      <c r="E143" s="80" t="str">
        <f t="shared" si="0"/>
        <v>-1.10640490994769-0.24759012065045i</v>
      </c>
      <c r="F143" s="79">
        <f t="shared" si="6"/>
        <v>1.0904934119072716</v>
      </c>
      <c r="G143" s="78">
        <f t="shared" si="7"/>
        <v>-167.38622420673516</v>
      </c>
      <c r="H143" s="78" t="str">
        <f t="shared" si="8"/>
        <v>1.74692646636123+2.27162549742282i</v>
      </c>
      <c r="I143" s="78">
        <f t="shared" si="1"/>
        <v>9.1445076415059461</v>
      </c>
      <c r="J143" s="78">
        <f t="shared" si="17"/>
        <v>52.438979375776597</v>
      </c>
      <c r="K143" s="78" t="str">
        <f t="shared" si="18"/>
        <v>-1.37037598872008-2.94585933848481i</v>
      </c>
      <c r="L143" s="79">
        <f t="shared" si="19"/>
        <v>10.235001053413214</v>
      </c>
      <c r="M143" s="78">
        <f t="shared" si="9"/>
        <v>65.052755169041404</v>
      </c>
      <c r="N143" s="78"/>
      <c r="O143" s="78"/>
      <c r="P143" s="78"/>
      <c r="Q143" s="79">
        <f t="shared" si="2"/>
        <v>536.31374280816385</v>
      </c>
      <c r="R143" s="79">
        <f t="shared" si="10"/>
        <v>54.588378514285843</v>
      </c>
      <c r="S143" s="78" t="str">
        <f t="shared" si="11"/>
        <v>1.4135694224992+2.39523732469762i</v>
      </c>
      <c r="T143" s="78">
        <f t="shared" si="12"/>
        <v>8.8847942734976506</v>
      </c>
      <c r="U143" s="78">
        <f t="shared" si="13"/>
        <v>59.452663520062302</v>
      </c>
      <c r="V143" s="78" t="str">
        <f t="shared" si="14"/>
        <v>-0.970943051396691-3.00008816039978i</v>
      </c>
      <c r="W143" s="79">
        <f t="shared" si="15"/>
        <v>9.9752876854049219</v>
      </c>
      <c r="X143" s="78">
        <f t="shared" si="16"/>
        <v>72.066439313327123</v>
      </c>
      <c r="Y143" s="78"/>
    </row>
    <row r="144" spans="1:25">
      <c r="A144" s="78">
        <v>4.3</v>
      </c>
      <c r="B144" s="79">
        <f t="shared" si="3"/>
        <v>19952.623149688792</v>
      </c>
      <c r="C144" s="79">
        <f t="shared" si="4"/>
        <v>125366.0286138159</v>
      </c>
      <c r="D144" s="79" t="str">
        <f t="shared" si="5"/>
        <v>125366.028613816i</v>
      </c>
      <c r="E144" s="80" t="str">
        <f t="shared" si="0"/>
        <v>-0.6557247385854-0.11089956452416i</v>
      </c>
      <c r="F144" s="79">
        <f t="shared" si="6"/>
        <v>-3.5430893819977238</v>
      </c>
      <c r="G144" s="78">
        <f t="shared" si="7"/>
        <v>-170.40067732042854</v>
      </c>
      <c r="H144" s="78" t="str">
        <f t="shared" si="8"/>
        <v>1.90394121553379+2.93600538771327i</v>
      </c>
      <c r="I144" s="78">
        <f t="shared" si="1"/>
        <v>10.879630380029379</v>
      </c>
      <c r="J144" s="78">
        <f t="shared" si="17"/>
        <v>57.037391811540211</v>
      </c>
      <c r="K144" s="78" t="str">
        <f t="shared" si="18"/>
        <v>-0.922859636899874-2.13635761702591i</v>
      </c>
      <c r="L144" s="79">
        <f t="shared" si="19"/>
        <v>7.336540998031662</v>
      </c>
      <c r="M144" s="78">
        <f t="shared" si="9"/>
        <v>66.636714491111704</v>
      </c>
      <c r="N144" s="78"/>
      <c r="O144" s="78"/>
      <c r="P144" s="78"/>
      <c r="Q144" s="79">
        <f t="shared" si="2"/>
        <v>426.00914858318151</v>
      </c>
      <c r="R144" s="79">
        <f t="shared" si="10"/>
        <v>52.58837851428585</v>
      </c>
      <c r="S144" s="78" t="str">
        <f t="shared" si="11"/>
        <v>1.51312706687673+3.06436474854744i</v>
      </c>
      <c r="T144" s="78">
        <f t="shared" si="12"/>
        <v>10.67438560517054</v>
      </c>
      <c r="U144" s="78">
        <f t="shared" si="13"/>
        <v>63.720685575727188</v>
      </c>
      <c r="V144" s="78" t="str">
        <f t="shared" si="14"/>
        <v>-0.652358134217139-2.17718490645793i</v>
      </c>
      <c r="W144" s="79">
        <f t="shared" si="15"/>
        <v>7.1312962231727992</v>
      </c>
      <c r="X144" s="78">
        <f t="shared" si="16"/>
        <v>73.320008255298632</v>
      </c>
      <c r="Y144" s="78"/>
    </row>
    <row r="145" spans="1:25">
      <c r="A145" s="78">
        <v>4.4000000000000004</v>
      </c>
      <c r="B145" s="79">
        <f t="shared" si="3"/>
        <v>25118.86431509586</v>
      </c>
      <c r="C145" s="79">
        <f t="shared" si="4"/>
        <v>157826.47919764792</v>
      </c>
      <c r="D145" s="79" t="str">
        <f t="shared" si="5"/>
        <v>157826.479197648i</v>
      </c>
      <c r="E145" s="80" t="str">
        <f t="shared" si="0"/>
        <v>-0.397962654132013-0.0535584944619492i</v>
      </c>
      <c r="F145" s="79">
        <f t="shared" si="6"/>
        <v>-7.925197054752072</v>
      </c>
      <c r="G145" s="78">
        <f t="shared" si="7"/>
        <v>-172.33509082547189</v>
      </c>
      <c r="H145" s="78" t="str">
        <f t="shared" si="8"/>
        <v>2.1505700384858+3.73754042679572i</v>
      </c>
      <c r="I145" s="78">
        <f t="shared" si="1"/>
        <v>12.693765620991527</v>
      </c>
      <c r="J145" s="78">
        <f t="shared" si="17"/>
        <v>60.084000914593233</v>
      </c>
      <c r="K145" s="78" t="str">
        <f t="shared" si="18"/>
        <v>-0.655669522162744-1.6025828016696i</v>
      </c>
      <c r="L145" s="79">
        <f t="shared" si="19"/>
        <v>4.7685685662394706</v>
      </c>
      <c r="M145" s="78">
        <f t="shared" si="9"/>
        <v>67.748910089121409</v>
      </c>
      <c r="N145" s="78"/>
      <c r="O145" s="78"/>
      <c r="P145" s="78"/>
      <c r="Q145" s="79">
        <f t="shared" si="2"/>
        <v>338.3910949704719</v>
      </c>
      <c r="R145" s="79">
        <f t="shared" si="10"/>
        <v>50.588378514285836</v>
      </c>
      <c r="S145" s="78" t="str">
        <f t="shared" si="11"/>
        <v>1.67037104575706+3.88907551493065i</v>
      </c>
      <c r="T145" s="78">
        <f t="shared" si="12"/>
        <v>12.532179710556374</v>
      </c>
      <c r="U145" s="78">
        <f t="shared" si="13"/>
        <v>66.75631396238002</v>
      </c>
      <c r="V145" s="78" t="str">
        <f t="shared" si="14"/>
        <v>-0.45645226532623-1.63716937244521i</v>
      </c>
      <c r="W145" s="79">
        <f t="shared" si="15"/>
        <v>4.6069826558043214</v>
      </c>
      <c r="X145" s="78">
        <f t="shared" si="16"/>
        <v>74.421223136908182</v>
      </c>
      <c r="Y145" s="78"/>
    </row>
    <row r="146" spans="1:25">
      <c r="A146" s="78">
        <v>4.5</v>
      </c>
      <c r="B146" s="79">
        <f t="shared" si="3"/>
        <v>31622.77660168384</v>
      </c>
      <c r="C146" s="79">
        <f t="shared" si="4"/>
        <v>198691.7653159223</v>
      </c>
      <c r="D146" s="79" t="str">
        <f t="shared" si="5"/>
        <v>198691.765315922i</v>
      </c>
      <c r="E146" s="80" t="str">
        <f t="shared" si="0"/>
        <v>-0.245095731002738-0.0274350359966419i</v>
      </c>
      <c r="F146" s="79">
        <f t="shared" si="6"/>
        <v>-12.159207487437321</v>
      </c>
      <c r="G146" s="78">
        <f t="shared" si="7"/>
        <v>-173.61312615477883</v>
      </c>
      <c r="H146" s="78" t="str">
        <f t="shared" si="8"/>
        <v>2.53594171408485+4.70037240811394i</v>
      </c>
      <c r="I146" s="78">
        <f t="shared" si="1"/>
        <v>14.552180580422716</v>
      </c>
      <c r="J146" s="78">
        <f t="shared" si="17"/>
        <v>61.652281213352047</v>
      </c>
      <c r="K146" s="78" t="str">
        <f t="shared" si="18"/>
        <v>-0.492593601979734-1.22161486356309i</v>
      </c>
      <c r="L146" s="79">
        <f t="shared" si="19"/>
        <v>2.3929730929853936</v>
      </c>
      <c r="M146" s="78">
        <f t="shared" si="9"/>
        <v>68.039155058573229</v>
      </c>
      <c r="N146" s="78"/>
      <c r="O146" s="78"/>
      <c r="P146" s="78"/>
      <c r="Q146" s="79">
        <f t="shared" si="2"/>
        <v>268.79360111431185</v>
      </c>
      <c r="R146" s="79">
        <f t="shared" si="10"/>
        <v>48.588378514285836</v>
      </c>
      <c r="S146" s="78" t="str">
        <f t="shared" si="11"/>
        <v>1.91822584515417+4.9058052522041i</v>
      </c>
      <c r="T146" s="78">
        <f t="shared" si="12"/>
        <v>14.432084517592285</v>
      </c>
      <c r="U146" s="78">
        <f t="shared" si="13"/>
        <v>68.643934404810864</v>
      </c>
      <c r="V146" s="78" t="str">
        <f t="shared" si="14"/>
        <v>-0.335558022059672-1.25501851955753i</v>
      </c>
      <c r="W146" s="79">
        <f t="shared" si="15"/>
        <v>2.2728770301549739</v>
      </c>
      <c r="X146" s="78">
        <f t="shared" si="16"/>
        <v>75.030808250032038</v>
      </c>
      <c r="Y146" s="78"/>
    </row>
    <row r="147" spans="1:25">
      <c r="A147" s="78">
        <v>4.5999999999999996</v>
      </c>
      <c r="B147" s="79">
        <f t="shared" si="3"/>
        <v>39810.717055349742</v>
      </c>
      <c r="C147" s="79">
        <f t="shared" si="4"/>
        <v>250138.11247045727</v>
      </c>
      <c r="D147" s="79" t="str">
        <f t="shared" si="5"/>
        <v>250138.112470457i</v>
      </c>
      <c r="E147" s="80" t="str">
        <f t="shared" si="0"/>
        <v>-0.152324370542841-0.01483671712161i</v>
      </c>
      <c r="F147" s="79">
        <f t="shared" si="6"/>
        <v>-16.303604104693335</v>
      </c>
      <c r="G147" s="78">
        <f t="shared" si="7"/>
        <v>-174.43681808789478</v>
      </c>
      <c r="H147" s="78" t="str">
        <f t="shared" si="8"/>
        <v>3.13316857416863+5.83995755481837i</v>
      </c>
      <c r="I147" s="78">
        <f t="shared" si="1"/>
        <v>16.426806200384693</v>
      </c>
      <c r="J147" s="78">
        <f t="shared" si="17"/>
        <v>61.786203144838716</v>
      </c>
      <c r="K147" s="78" t="str">
        <f t="shared" si="18"/>
        <v>-0.390612132621798-0.936053794363875i</v>
      </c>
      <c r="L147" s="79">
        <f t="shared" si="19"/>
        <v>0.12320209569136001</v>
      </c>
      <c r="M147" s="78">
        <f t="shared" si="9"/>
        <v>67.34938505694393</v>
      </c>
      <c r="N147" s="78"/>
      <c r="O147" s="78"/>
      <c r="P147" s="78"/>
      <c r="Q147" s="79">
        <f t="shared" si="2"/>
        <v>213.51034667831422</v>
      </c>
      <c r="R147" s="79">
        <f t="shared" si="10"/>
        <v>46.588378514285857</v>
      </c>
      <c r="S147" s="78" t="str">
        <f t="shared" si="11"/>
        <v>2.30766039060217+6.1539511595941i</v>
      </c>
      <c r="T147" s="78">
        <f t="shared" si="12"/>
        <v>16.354476682427634</v>
      </c>
      <c r="U147" s="78">
        <f t="shared" si="13"/>
        <v>69.444536725271945</v>
      </c>
      <c r="V147" s="78" t="str">
        <f t="shared" si="14"/>
        <v>-0.260208483890021-0.971634841164666i</v>
      </c>
      <c r="W147" s="79">
        <f t="shared" si="15"/>
        <v>5.0872577734301684E-2</v>
      </c>
      <c r="X147" s="78">
        <f t="shared" si="16"/>
        <v>75.007718637377153</v>
      </c>
      <c r="Y147" s="78"/>
    </row>
    <row r="148" spans="1:25">
      <c r="A148" s="78">
        <v>4.7</v>
      </c>
      <c r="B148" s="79">
        <f t="shared" si="3"/>
        <v>50118.723362727294</v>
      </c>
      <c r="C148" s="79">
        <f t="shared" si="4"/>
        <v>314905.22624728642</v>
      </c>
      <c r="D148" s="79" t="str">
        <f t="shared" si="5"/>
        <v>314905.226247286i</v>
      </c>
      <c r="E148" s="80" t="str">
        <f t="shared" si="0"/>
        <v>-0.0952033961229226-0.00847984157843826i</v>
      </c>
      <c r="F148" s="79">
        <f t="shared" si="6"/>
        <v>-20.392631929175526</v>
      </c>
      <c r="G148" s="78">
        <f t="shared" si="7"/>
        <v>-174.9100519170359</v>
      </c>
      <c r="H148" s="78" t="str">
        <f t="shared" si="8"/>
        <v>4.0468029768513+7.14909471422281i</v>
      </c>
      <c r="I148" s="78">
        <f t="shared" si="1"/>
        <v>18.29214778809736</v>
      </c>
      <c r="J148" s="78">
        <f t="shared" si="17"/>
        <v>60.487617755751288</v>
      </c>
      <c r="K148" s="78" t="str">
        <f t="shared" si="18"/>
        <v>-0.324646196230737-0.714934344141298i</v>
      </c>
      <c r="L148" s="79">
        <f t="shared" si="19"/>
        <v>-2.1004841410781636</v>
      </c>
      <c r="M148" s="78">
        <f t="shared" si="9"/>
        <v>65.577565838715401</v>
      </c>
      <c r="N148" s="78"/>
      <c r="O148" s="78"/>
      <c r="P148" s="78"/>
      <c r="Q148" s="79">
        <f t="shared" si="2"/>
        <v>169.59729677235455</v>
      </c>
      <c r="R148" s="79">
        <f t="shared" si="10"/>
        <v>44.588378514285843</v>
      </c>
      <c r="S148" s="78" t="str">
        <f t="shared" si="11"/>
        <v>2.91646867592743+7.67112827188731i</v>
      </c>
      <c r="T148" s="78">
        <f t="shared" si="12"/>
        <v>18.28350486848305</v>
      </c>
      <c r="U148" s="78">
        <f t="shared" si="13"/>
        <v>69.18381174047154</v>
      </c>
      <c r="V148" s="78" t="str">
        <f t="shared" si="14"/>
        <v>-0.212607770160931-0.755048655918581i</v>
      </c>
      <c r="W148" s="79">
        <f t="shared" si="15"/>
        <v>-2.1091270606924715</v>
      </c>
      <c r="X148" s="78">
        <f t="shared" si="16"/>
        <v>74.273759823435668</v>
      </c>
      <c r="Y148" s="78"/>
    </row>
    <row r="149" spans="1:25">
      <c r="A149" s="78">
        <v>4.8</v>
      </c>
      <c r="B149" s="79">
        <f t="shared" si="3"/>
        <v>63095.734448019342</v>
      </c>
      <c r="C149" s="79">
        <f t="shared" si="4"/>
        <v>396442.19162950001</v>
      </c>
      <c r="D149" s="79" t="str">
        <f t="shared" si="5"/>
        <v>396442.1916295i</v>
      </c>
      <c r="E149" s="80" t="str">
        <f t="shared" si="0"/>
        <v>-0.0597125289540428-0.00513368293996332i</v>
      </c>
      <c r="F149" s="79">
        <f t="shared" si="6"/>
        <v>-24.446708279339298</v>
      </c>
      <c r="G149" s="78">
        <f t="shared" si="7"/>
        <v>-175.08617589714601</v>
      </c>
      <c r="H149" s="78" t="str">
        <f t="shared" si="8"/>
        <v>5.41638471812936+8.5726415279929i</v>
      </c>
      <c r="I149" s="78">
        <f t="shared" si="1"/>
        <v>20.121088808794735</v>
      </c>
      <c r="J149" s="78">
        <f t="shared" si="17"/>
        <v>57.714396090056006</v>
      </c>
      <c r="K149" s="78" t="str">
        <f t="shared" si="18"/>
        <v>-0.279416805744856-0.539700107276644i</v>
      </c>
      <c r="L149" s="79">
        <f t="shared" si="19"/>
        <v>-4.3256194705445745</v>
      </c>
      <c r="M149" s="78">
        <f t="shared" si="9"/>
        <v>62.628220192910007</v>
      </c>
      <c r="N149" s="78"/>
      <c r="O149" s="78"/>
      <c r="P149" s="78"/>
      <c r="Q149" s="79">
        <f t="shared" si="2"/>
        <v>134.7159213591946</v>
      </c>
      <c r="R149" s="79">
        <f t="shared" si="10"/>
        <v>42.58837851428585</v>
      </c>
      <c r="S149" s="78" t="str">
        <f t="shared" si="11"/>
        <v>3.86067845663747+9.48232473160808i</v>
      </c>
      <c r="T149" s="78">
        <f t="shared" si="12"/>
        <v>20.204413398647336</v>
      </c>
      <c r="U149" s="78">
        <f t="shared" si="13"/>
        <v>67.846563659578223</v>
      </c>
      <c r="V149" s="78" t="str">
        <f t="shared" si="14"/>
        <v>-0.181851625418366-0.586033089217307i</v>
      </c>
      <c r="W149" s="79">
        <f t="shared" si="15"/>
        <v>-4.242294880691964</v>
      </c>
      <c r="X149" s="78">
        <f t="shared" si="16"/>
        <v>72.76038776243216</v>
      </c>
      <c r="Y149" s="78"/>
    </row>
    <row r="150" spans="1:25">
      <c r="A150" s="78">
        <v>4.9000000000000004</v>
      </c>
      <c r="B150" s="79">
        <f t="shared" si="3"/>
        <v>79432.823472428237</v>
      </c>
      <c r="C150" s="79">
        <f t="shared" si="4"/>
        <v>499091.14934975083</v>
      </c>
      <c r="D150" s="79" t="str">
        <f t="shared" si="5"/>
        <v>499091.149349751i</v>
      </c>
      <c r="E150" s="80" t="str">
        <f t="shared" si="0"/>
        <v>-0.0375350920083322-0.00329161823132326i</v>
      </c>
      <c r="F150" s="79">
        <f t="shared" si="6"/>
        <v>-28.477979472922158</v>
      </c>
      <c r="G150" s="78">
        <f t="shared" si="7"/>
        <v>-174.9883006185137</v>
      </c>
      <c r="H150" s="78" t="str">
        <f t="shared" si="8"/>
        <v>7.40549298832257+9.96751214258781i</v>
      </c>
      <c r="I150" s="78">
        <f t="shared" si="1"/>
        <v>21.880636011911641</v>
      </c>
      <c r="J150" s="78">
        <f t="shared" si="17"/>
        <v>53.389016026511179</v>
      </c>
      <c r="K150" s="78" t="str">
        <f t="shared" si="18"/>
        <v>-0.245156615994269-0.398507541098501i</v>
      </c>
      <c r="L150" s="79">
        <f t="shared" si="19"/>
        <v>-6.5973434610105155</v>
      </c>
      <c r="M150" s="78">
        <f t="shared" si="9"/>
        <v>58.400715407997467</v>
      </c>
      <c r="N150" s="78"/>
      <c r="O150" s="78"/>
      <c r="P150" s="78"/>
      <c r="Q150" s="79">
        <f t="shared" si="2"/>
        <v>107.0086600025041</v>
      </c>
      <c r="R150" s="79">
        <f t="shared" si="10"/>
        <v>40.58837851428585</v>
      </c>
      <c r="S150" s="78" t="str">
        <f t="shared" si="11"/>
        <v>5.30682021333044+11.5780021056633i</v>
      </c>
      <c r="T150" s="78">
        <f t="shared" si="12"/>
        <v>22.100842467881392</v>
      </c>
      <c r="U150" s="78">
        <f t="shared" si="13"/>
        <v>65.375470428408192</v>
      </c>
      <c r="V150" s="78" t="str">
        <f t="shared" si="14"/>
        <v>-0.161081622165735-0.452049400473289i</v>
      </c>
      <c r="W150" s="79">
        <f t="shared" si="15"/>
        <v>-6.3771370050407619</v>
      </c>
      <c r="X150" s="78">
        <f t="shared" si="16"/>
        <v>70.387169809894459</v>
      </c>
      <c r="Y150" s="78"/>
    </row>
    <row r="151" spans="1:25">
      <c r="A151" s="78">
        <v>5</v>
      </c>
      <c r="B151" s="79">
        <f t="shared" si="3"/>
        <v>100000</v>
      </c>
      <c r="C151" s="79">
        <f t="shared" si="4"/>
        <v>628318.53071795858</v>
      </c>
      <c r="D151" s="79" t="str">
        <f t="shared" si="5"/>
        <v>628318.530717959i</v>
      </c>
      <c r="E151" s="80" t="str">
        <f t="shared" si="0"/>
        <v>-0.0236271870670263-0.00222578189947791i</v>
      </c>
      <c r="F151" s="79">
        <f t="shared" si="6"/>
        <v>-32.493388392263256</v>
      </c>
      <c r="G151" s="78">
        <f t="shared" si="7"/>
        <v>-174.61837508562434</v>
      </c>
      <c r="H151" s="78" t="str">
        <f t="shared" si="8"/>
        <v>10.1562028932393+11.0526709351881i</v>
      </c>
      <c r="I151" s="78">
        <f t="shared" si="1"/>
        <v>23.527804521706386</v>
      </c>
      <c r="J151" s="78">
        <f t="shared" si="17"/>
        <v>47.420367958341082</v>
      </c>
      <c r="K151" s="78" t="str">
        <f t="shared" si="18"/>
        <v>-0.215361670740811-0.283749016343171i</v>
      </c>
      <c r="L151" s="79">
        <f t="shared" si="19"/>
        <v>-8.9655838705568716</v>
      </c>
      <c r="M151" s="78">
        <f t="shared" si="9"/>
        <v>52.801992872716809</v>
      </c>
      <c r="N151" s="78"/>
      <c r="O151" s="78"/>
      <c r="P151" s="78"/>
      <c r="Q151" s="79">
        <f t="shared" si="2"/>
        <v>85</v>
      </c>
      <c r="R151" s="79">
        <f t="shared" si="10"/>
        <v>38.58837851428585</v>
      </c>
      <c r="S151" s="78" t="str">
        <f t="shared" si="11"/>
        <v>7.47855479834618+13.8742052326333i</v>
      </c>
      <c r="T151" s="78">
        <f t="shared" si="12"/>
        <v>23.951906704959349</v>
      </c>
      <c r="U151" s="78">
        <f t="shared" si="13"/>
        <v>61.674186408759056</v>
      </c>
      <c r="V151" s="78" t="str">
        <f t="shared" si="14"/>
        <v>-0.145816258335095-0.344454074342155i</v>
      </c>
      <c r="W151" s="79">
        <f t="shared" si="15"/>
        <v>-8.5414816873039019</v>
      </c>
      <c r="X151" s="78">
        <f t="shared" si="16"/>
        <v>67.055811323134805</v>
      </c>
      <c r="Y151" s="78"/>
    </row>
    <row r="152" spans="1:25">
      <c r="A152" s="78">
        <v>5.0999999999999996</v>
      </c>
      <c r="B152" s="79">
        <f t="shared" si="3"/>
        <v>125892.54117941685</v>
      </c>
      <c r="C152" s="79">
        <f t="shared" si="4"/>
        <v>791006.16502201289</v>
      </c>
      <c r="D152" s="79" t="str">
        <f t="shared" si="5"/>
        <v>791006.165022013i</v>
      </c>
      <c r="E152" s="80" t="str">
        <f t="shared" si="0"/>
        <v>-0.0148855773345821-0.00157474190467956i</v>
      </c>
      <c r="F152" s="79">
        <f t="shared" si="6"/>
        <v>-36.496352329255316</v>
      </c>
      <c r="G152" s="78">
        <f t="shared" si="7"/>
        <v>-173.96115330054772</v>
      </c>
      <c r="H152" s="78" t="str">
        <f t="shared" si="8"/>
        <v>13.683724936856+11.3779087493644i</v>
      </c>
      <c r="I152" s="78">
        <f t="shared" si="1"/>
        <v>25.006496207082634</v>
      </c>
      <c r="J152" s="78">
        <f t="shared" si="17"/>
        <v>39.743254328803168</v>
      </c>
      <c r="K152" s="78" t="str">
        <f t="shared" si="18"/>
        <v>-0.185772876077475-0.190915075664658i</v>
      </c>
      <c r="L152" s="79">
        <f t="shared" si="19"/>
        <v>-11.489856122172684</v>
      </c>
      <c r="M152" s="78">
        <f t="shared" si="9"/>
        <v>45.782101028255511</v>
      </c>
      <c r="N152" s="78"/>
      <c r="O152" s="78"/>
      <c r="P152" s="78"/>
      <c r="Q152" s="79">
        <f t="shared" si="2"/>
        <v>67.517899951563862</v>
      </c>
      <c r="R152" s="79">
        <f t="shared" si="10"/>
        <v>36.58837851428585</v>
      </c>
      <c r="S152" s="78" t="str">
        <f t="shared" si="11"/>
        <v>10.641212156377+16.1486931065402i</v>
      </c>
      <c r="T152" s="78">
        <f t="shared" si="12"/>
        <v>25.728898157183391</v>
      </c>
      <c r="U152" s="78">
        <f t="shared" si="13"/>
        <v>56.617038990442659</v>
      </c>
      <c r="V152" s="78" t="str">
        <f t="shared" si="14"/>
        <v>-0.132970562746766-0.257139782789069i</v>
      </c>
      <c r="W152" s="79">
        <f t="shared" si="15"/>
        <v>-10.767454172071941</v>
      </c>
      <c r="X152" s="78">
        <f t="shared" si="16"/>
        <v>62.655885689894944</v>
      </c>
      <c r="Y152" s="78"/>
    </row>
    <row r="153" spans="1:25">
      <c r="A153" s="78">
        <v>5.2</v>
      </c>
      <c r="B153" s="79">
        <f t="shared" si="3"/>
        <v>158489.31924611164</v>
      </c>
      <c r="C153" s="79">
        <f t="shared" si="4"/>
        <v>995817.76203206345</v>
      </c>
      <c r="D153" s="79" t="str">
        <f t="shared" si="5"/>
        <v>995817.762032063i</v>
      </c>
      <c r="E153" s="80" t="str">
        <f t="shared" si="0"/>
        <v>-0.0093833550007786-0.00115451249059877i</v>
      </c>
      <c r="F153" s="79">
        <f t="shared" si="6"/>
        <v>-40.487584341504402</v>
      </c>
      <c r="G153" s="78">
        <f t="shared" si="7"/>
        <v>-172.98567551883363</v>
      </c>
      <c r="H153" s="78" t="str">
        <f t="shared" si="8"/>
        <v>17.7105647361316+10.381267952191i</v>
      </c>
      <c r="I153" s="78">
        <f t="shared" si="1"/>
        <v>26.247304230508007</v>
      </c>
      <c r="J153" s="78">
        <f t="shared" si="17"/>
        <v>30.377230518207885</v>
      </c>
      <c r="K153" s="78" t="str">
        <f t="shared" si="18"/>
        <v>-0.154199212664336-0.117858190757036i</v>
      </c>
      <c r="L153" s="79">
        <f t="shared" si="19"/>
        <v>-14.240280110996416</v>
      </c>
      <c r="M153" s="78">
        <f t="shared" si="9"/>
        <v>37.391554999374364</v>
      </c>
      <c r="N153" s="78"/>
      <c r="O153" s="78"/>
      <c r="P153" s="78"/>
      <c r="Q153" s="79">
        <f t="shared" si="2"/>
        <v>53.631374280816324</v>
      </c>
      <c r="R153" s="79">
        <f t="shared" si="10"/>
        <v>34.588378514285843</v>
      </c>
      <c r="S153" s="78" t="str">
        <f t="shared" si="11"/>
        <v>15.0322219125985+17.9591533306604i</v>
      </c>
      <c r="T153" s="78">
        <f t="shared" si="12"/>
        <v>27.391757482640926</v>
      </c>
      <c r="U153" s="78">
        <f t="shared" si="13"/>
        <v>50.069897719367397</v>
      </c>
      <c r="V153" s="78" t="str">
        <f t="shared" si="14"/>
        <v>-0.120318607815569-0.185871999174549i</v>
      </c>
      <c r="W153" s="79">
        <f t="shared" si="15"/>
        <v>-13.095826858863491</v>
      </c>
      <c r="X153" s="78">
        <f t="shared" si="16"/>
        <v>57.084222200533731</v>
      </c>
      <c r="Y153" s="78"/>
    </row>
    <row r="154" spans="1:25">
      <c r="A154" s="78">
        <v>5.3</v>
      </c>
      <c r="B154" s="79">
        <f t="shared" si="3"/>
        <v>199526.23149688813</v>
      </c>
      <c r="C154" s="79">
        <f t="shared" si="4"/>
        <v>1253660.2861381602</v>
      </c>
      <c r="D154" s="79" t="str">
        <f t="shared" si="5"/>
        <v>1253660.28613816i</v>
      </c>
      <c r="E154" s="80" t="str">
        <f t="shared" si="0"/>
        <v>-0.00591699386532909-0.000868933187998261i</v>
      </c>
      <c r="F154" s="79">
        <f t="shared" si="6"/>
        <v>-44.465313121287053</v>
      </c>
      <c r="G154" s="78">
        <f t="shared" si="7"/>
        <v>-171.64561106951194</v>
      </c>
      <c r="H154" s="78" t="str">
        <f t="shared" si="8"/>
        <v>21.5283718650965+7.6214852231988i</v>
      </c>
      <c r="I154" s="78">
        <f t="shared" si="1"/>
        <v>27.173024715343104</v>
      </c>
      <c r="J154" s="78">
        <f t="shared" si="17"/>
        <v>19.495007422484157</v>
      </c>
      <c r="K154" s="78" t="str">
        <f t="shared" si="18"/>
        <v>-0.120760682804024-0.063802998107514i</v>
      </c>
      <c r="L154" s="79">
        <f t="shared" si="19"/>
        <v>-17.292288405943928</v>
      </c>
      <c r="M154" s="78">
        <f t="shared" si="9"/>
        <v>27.849396352972121</v>
      </c>
      <c r="N154" s="78"/>
      <c r="O154" s="78"/>
      <c r="P154" s="78"/>
      <c r="Q154" s="79">
        <f t="shared" si="2"/>
        <v>42.600914858318106</v>
      </c>
      <c r="R154" s="79">
        <f t="shared" si="10"/>
        <v>32.58837851428585</v>
      </c>
      <c r="S154" s="78" t="str">
        <f t="shared" si="11"/>
        <v>20.6952430363068+18.5871538674791i</v>
      </c>
      <c r="T154" s="78">
        <f t="shared" si="12"/>
        <v>28.886149034123374</v>
      </c>
      <c r="U154" s="78">
        <f t="shared" si="13"/>
        <v>41.928169581234989</v>
      </c>
      <c r="V154" s="78" t="str">
        <f t="shared" si="14"/>
        <v>-0.106302631221439-0.127962858915739i</v>
      </c>
      <c r="W154" s="79">
        <f t="shared" si="15"/>
        <v>-15.579164087163665</v>
      </c>
      <c r="X154" s="78">
        <f t="shared" si="16"/>
        <v>50.282558511723153</v>
      </c>
      <c r="Y154" s="78"/>
    </row>
    <row r="155" spans="1:25">
      <c r="A155" s="78">
        <v>5.4</v>
      </c>
      <c r="B155" s="79">
        <f t="shared" si="3"/>
        <v>251188.64315095844</v>
      </c>
      <c r="C155" s="79">
        <f t="shared" si="4"/>
        <v>1578264.7919764782</v>
      </c>
      <c r="D155" s="79" t="str">
        <f t="shared" si="5"/>
        <v>1578264.79197648i</v>
      </c>
      <c r="E155" s="80" t="str">
        <f t="shared" si="0"/>
        <v>-0.00373197725965671-0.00066614727257943i</v>
      </c>
      <c r="F155" s="79">
        <f t="shared" si="6"/>
        <v>-48.425007276269334</v>
      </c>
      <c r="G155" s="78">
        <f t="shared" si="7"/>
        <v>-169.87945320865387</v>
      </c>
      <c r="H155" s="78" t="str">
        <f t="shared" si="8"/>
        <v>24.0924313268786+3.15960718426425i</v>
      </c>
      <c r="I155" s="78">
        <f t="shared" si="1"/>
        <v>27.711672132795407</v>
      </c>
      <c r="J155" s="78">
        <f t="shared" si="17"/>
        <v>7.4714283901206322</v>
      </c>
      <c r="K155" s="78" t="str">
        <f t="shared" si="18"/>
        <v>-0.0878076421335319-0.0278406895793295i</v>
      </c>
      <c r="L155" s="79">
        <f t="shared" si="19"/>
        <v>-20.713335143473923</v>
      </c>
      <c r="M155" s="78">
        <f t="shared" si="9"/>
        <v>17.591975181466722</v>
      </c>
      <c r="N155" s="78"/>
      <c r="O155" s="78"/>
      <c r="P155" s="78"/>
      <c r="Q155" s="79">
        <f t="shared" si="2"/>
        <v>33.839109497047211</v>
      </c>
      <c r="R155" s="79">
        <f t="shared" si="10"/>
        <v>30.588378514285843</v>
      </c>
      <c r="S155" s="78" t="str">
        <f t="shared" si="11"/>
        <v>27.2109068620739+17.1192591398963i</v>
      </c>
      <c r="T155" s="78">
        <f t="shared" si="12"/>
        <v>30.14311525519232</v>
      </c>
      <c r="U155" s="78">
        <f t="shared" si="13"/>
        <v>32.17532195358288</v>
      </c>
      <c r="V155" s="78" t="str">
        <f t="shared" si="14"/>
        <v>-0.0901465378392741-0.0820151572028467i</v>
      </c>
      <c r="W155" s="79">
        <f t="shared" si="15"/>
        <v>-18.281892021077017</v>
      </c>
      <c r="X155" s="78">
        <f t="shared" si="16"/>
        <v>42.295868744929038</v>
      </c>
      <c r="Y155" s="78"/>
    </row>
    <row r="156" spans="1:25">
      <c r="A156" s="78">
        <v>5.5</v>
      </c>
      <c r="B156" s="79">
        <f t="shared" si="3"/>
        <v>316227.7660168382</v>
      </c>
      <c r="C156" s="79">
        <f t="shared" si="4"/>
        <v>1986917.6531592219</v>
      </c>
      <c r="D156" s="79" t="str">
        <f t="shared" si="5"/>
        <v>1986917.65315922i</v>
      </c>
      <c r="E156" s="80" t="str">
        <f t="shared" si="0"/>
        <v>-0.00235416397139281-0.000517091530563527i</v>
      </c>
      <c r="F156" s="79">
        <f t="shared" si="6"/>
        <v>-52.358633629059923</v>
      </c>
      <c r="G156" s="78">
        <f t="shared" si="7"/>
        <v>-167.61172421698143</v>
      </c>
      <c r="H156" s="78" t="str">
        <f t="shared" si="8"/>
        <v>24.4899018235957-2.19764790423039i</v>
      </c>
      <c r="I156" s="78">
        <f t="shared" si="1"/>
        <v>27.814573303407663</v>
      </c>
      <c r="J156" s="78">
        <f t="shared" si="17"/>
        <v>-5.1278108871363095</v>
      </c>
      <c r="K156" s="78" t="str">
        <f t="shared" si="18"/>
        <v>-0.0587896296544943-0.00748989729936751i</v>
      </c>
      <c r="L156" s="79">
        <f t="shared" si="19"/>
        <v>-24.544060325652268</v>
      </c>
      <c r="M156" s="78">
        <f t="shared" si="9"/>
        <v>7.2604648958822793</v>
      </c>
      <c r="N156" s="78"/>
      <c r="O156" s="78"/>
      <c r="P156" s="78"/>
      <c r="Q156" s="79">
        <f t="shared" si="2"/>
        <v>26.8793601114312</v>
      </c>
      <c r="R156" s="79">
        <f t="shared" si="10"/>
        <v>28.58837851428585</v>
      </c>
      <c r="S156" s="78" t="str">
        <f t="shared" si="11"/>
        <v>33.4582210795663+12.8126426761979i</v>
      </c>
      <c r="T156" s="78">
        <f t="shared" si="12"/>
        <v>31.084352470831313</v>
      </c>
      <c r="U156" s="78">
        <f t="shared" si="13"/>
        <v>20.954068065577633</v>
      </c>
      <c r="V156" s="78" t="str">
        <f t="shared" si="14"/>
        <v>-0.0721408296004117-0.0474640245146009i</v>
      </c>
      <c r="W156" s="79">
        <f t="shared" si="15"/>
        <v>-21.274281158228611</v>
      </c>
      <c r="X156" s="78">
        <f t="shared" si="16"/>
        <v>33.342343848596244</v>
      </c>
      <c r="Y156" s="78"/>
    </row>
    <row r="157" spans="1:25">
      <c r="A157" s="78">
        <v>5.6</v>
      </c>
      <c r="B157" s="79">
        <f t="shared" si="3"/>
        <v>398107.17055349716</v>
      </c>
      <c r="C157" s="79">
        <f t="shared" si="4"/>
        <v>2501381.124704571</v>
      </c>
      <c r="D157" s="79" t="str">
        <f t="shared" si="5"/>
        <v>2501381.12470457i</v>
      </c>
      <c r="E157" s="80" t="str">
        <f t="shared" si="0"/>
        <v>-0.00148515636748446-0.000404707114049745i</v>
      </c>
      <c r="F157" s="79">
        <f t="shared" si="6"/>
        <v>-56.253474504853443</v>
      </c>
      <c r="G157" s="78">
        <f t="shared" si="7"/>
        <v>-164.75693029220685</v>
      </c>
      <c r="H157" s="78" t="str">
        <f t="shared" si="8"/>
        <v>22.5250419901705-7.16207692939658i</v>
      </c>
      <c r="I157" s="78">
        <f t="shared" si="1"/>
        <v>27.471575761236473</v>
      </c>
      <c r="J157" s="78">
        <f t="shared" si="17"/>
        <v>-17.638616304037264</v>
      </c>
      <c r="K157" s="78" t="str">
        <f t="shared" si="18"/>
        <v>-0.0363517530242549+0.00152075941841565i</v>
      </c>
      <c r="L157" s="79">
        <f t="shared" si="19"/>
        <v>-28.781898743616978</v>
      </c>
      <c r="M157" s="78">
        <f t="shared" si="9"/>
        <v>357.60445340375588</v>
      </c>
      <c r="N157" s="78"/>
      <c r="O157" s="78"/>
      <c r="P157" s="78"/>
      <c r="Q157" s="79">
        <f t="shared" si="2"/>
        <v>21.351034667831435</v>
      </c>
      <c r="R157" s="79">
        <f t="shared" si="10"/>
        <v>26.588378514285857</v>
      </c>
      <c r="S157" s="78" t="str">
        <f t="shared" si="11"/>
        <v>37.7432518588225+5.72244805708742i</v>
      </c>
      <c r="T157" s="78">
        <f t="shared" si="12"/>
        <v>31.635488077429585</v>
      </c>
      <c r="U157" s="78">
        <f t="shared" si="13"/>
        <v>8.6212479224339802</v>
      </c>
      <c r="V157" s="78" t="str">
        <f t="shared" si="14"/>
        <v>-0.0537387153892165-0.0237736927042192i</v>
      </c>
      <c r="W157" s="79">
        <f t="shared" si="15"/>
        <v>-24.617986427423858</v>
      </c>
      <c r="X157" s="78">
        <f t="shared" si="16"/>
        <v>23.864317630227134</v>
      </c>
      <c r="Y157" s="78"/>
    </row>
    <row r="158" spans="1:25">
      <c r="A158" s="78">
        <v>5.7</v>
      </c>
      <c r="B158" s="79">
        <f t="shared" si="3"/>
        <v>501187.23362727347</v>
      </c>
      <c r="C158" s="79">
        <f t="shared" si="4"/>
        <v>3149052.2624728675</v>
      </c>
      <c r="D158" s="79" t="str">
        <f t="shared" si="5"/>
        <v>3149052.26247287i</v>
      </c>
      <c r="E158" s="80" t="str">
        <f t="shared" si="0"/>
        <v>-0.000936982479920261-0.00031844807397695i</v>
      </c>
      <c r="F158" s="79">
        <f t="shared" si="6"/>
        <v>-60.090641372791524</v>
      </c>
      <c r="G158" s="78">
        <f t="shared" si="7"/>
        <v>-161.22887179541985</v>
      </c>
      <c r="H158" s="78" t="str">
        <f t="shared" si="8"/>
        <v>18.865532351957-10.6481099340414i</v>
      </c>
      <c r="I158" s="78">
        <f t="shared" si="1"/>
        <v>26.714418146446363</v>
      </c>
      <c r="J158" s="78">
        <f t="shared" si="17"/>
        <v>-29.441312073254178</v>
      </c>
      <c r="K158" s="78" t="str">
        <f t="shared" si="18"/>
        <v>-0.0210675433881429+0.00396940001043113i</v>
      </c>
      <c r="L158" s="79">
        <f t="shared" si="19"/>
        <v>-33.376223226345154</v>
      </c>
      <c r="M158" s="78">
        <f t="shared" si="9"/>
        <v>349.32981613132597</v>
      </c>
      <c r="N158" s="78"/>
      <c r="O158" s="78"/>
      <c r="P158" s="78"/>
      <c r="Q158" s="79">
        <f t="shared" si="2"/>
        <v>16.959729677235437</v>
      </c>
      <c r="R158" s="79">
        <f t="shared" si="10"/>
        <v>24.588378514285836</v>
      </c>
      <c r="S158" s="78" t="str">
        <f t="shared" si="11"/>
        <v>38.5539821072803-2.87122440112002i</v>
      </c>
      <c r="T158" s="78">
        <f t="shared" si="12"/>
        <v>31.745405135321668</v>
      </c>
      <c r="U158" s="78">
        <f t="shared" si="13"/>
        <v>-4.2591168484613959</v>
      </c>
      <c r="V158" s="78" t="str">
        <f t="shared" si="14"/>
        <v>-0.0370387416461732-0.0095871543864362i</v>
      </c>
      <c r="W158" s="79">
        <f t="shared" si="15"/>
        <v>-28.345236237469841</v>
      </c>
      <c r="X158" s="78">
        <f t="shared" si="16"/>
        <v>14.512011356118734</v>
      </c>
      <c r="Y158" s="78"/>
    </row>
    <row r="159" spans="1:25">
      <c r="A159" s="78">
        <v>5.8</v>
      </c>
      <c r="B159" s="79">
        <f t="shared" si="3"/>
        <v>630957.34448019415</v>
      </c>
      <c r="C159" s="79">
        <f t="shared" si="4"/>
        <v>3964421.9162950045</v>
      </c>
      <c r="D159" s="79" t="str">
        <f t="shared" si="5"/>
        <v>3964421.916295i</v>
      </c>
      <c r="E159" s="80" t="str">
        <f t="shared" si="0"/>
        <v>-0.000591161012646714-0.000251438105372121i</v>
      </c>
      <c r="F159" s="79">
        <f t="shared" si="6"/>
        <v>-63.843734618241044</v>
      </c>
      <c r="G159" s="78">
        <f t="shared" si="7"/>
        <v>-156.95852847776561</v>
      </c>
      <c r="H159" s="78" t="str">
        <f t="shared" si="8"/>
        <v>14.588857622298-12.2779799066531i</v>
      </c>
      <c r="I159" s="78">
        <f t="shared" si="1"/>
        <v>25.606042344778839</v>
      </c>
      <c r="J159" s="78">
        <f t="shared" si="17"/>
        <v>-40.083959187849494</v>
      </c>
      <c r="K159" s="78" t="str">
        <f t="shared" si="18"/>
        <v>-0.0117115158508822+0.00359006831477882i</v>
      </c>
      <c r="L159" s="79">
        <f t="shared" si="19"/>
        <v>-38.237692273462237</v>
      </c>
      <c r="M159" s="78">
        <f t="shared" si="9"/>
        <v>342.95751233438483</v>
      </c>
      <c r="N159" s="78"/>
      <c r="O159" s="78"/>
      <c r="P159" s="78"/>
      <c r="Q159" s="79">
        <f t="shared" si="2"/>
        <v>13.471592135919446</v>
      </c>
      <c r="R159" s="79">
        <f t="shared" si="10"/>
        <v>22.588378514285843</v>
      </c>
      <c r="S159" s="78" t="str">
        <f t="shared" si="11"/>
        <v>35.5404010937855-10.8741334117294i</v>
      </c>
      <c r="T159" s="78">
        <f t="shared" si="12"/>
        <v>31.40309041356111</v>
      </c>
      <c r="U159" s="78">
        <f t="shared" si="13"/>
        <v>-17.012298543196032</v>
      </c>
      <c r="V159" s="78" t="str">
        <f t="shared" si="14"/>
        <v>-0.0237442710030815-0.00250784739585326i</v>
      </c>
      <c r="W159" s="79">
        <f t="shared" si="15"/>
        <v>-32.440644204679948</v>
      </c>
      <c r="X159" s="78">
        <f t="shared" si="16"/>
        <v>6.0291729790383499</v>
      </c>
      <c r="Y159" s="78"/>
    </row>
    <row r="160" spans="1:25">
      <c r="A160" s="78">
        <v>5.9</v>
      </c>
      <c r="B160" s="79">
        <f t="shared" si="3"/>
        <v>794328.23472428333</v>
      </c>
      <c r="C160" s="79">
        <f t="shared" si="4"/>
        <v>4990911.4934975151</v>
      </c>
      <c r="D160" s="79" t="str">
        <f t="shared" si="5"/>
        <v>4990911.49349752i</v>
      </c>
      <c r="E160" s="80" t="str">
        <f t="shared" si="0"/>
        <v>-0.000372983464045579-0.000198965652395008i</v>
      </c>
      <c r="F160" s="79">
        <f t="shared" si="6"/>
        <v>-67.478657378660571</v>
      </c>
      <c r="G160" s="78">
        <f t="shared" si="7"/>
        <v>-151.92259330865443</v>
      </c>
      <c r="H160" s="78" t="str">
        <f t="shared" si="8"/>
        <v>10.5962828197138-12.333325559267i</v>
      </c>
      <c r="I160" s="78">
        <f t="shared" si="1"/>
        <v>24.222485218949142</v>
      </c>
      <c r="J160" s="78">
        <f t="shared" si="17"/>
        <v>-49.332192728413375</v>
      </c>
      <c r="K160" s="78" t="str">
        <f t="shared" si="18"/>
        <v>-0.00640614643820309+0.00249183016611091i</v>
      </c>
      <c r="L160" s="79">
        <f t="shared" si="19"/>
        <v>-43.256172159711433</v>
      </c>
      <c r="M160" s="78">
        <f t="shared" si="9"/>
        <v>338.74521396293221</v>
      </c>
      <c r="N160" s="78"/>
      <c r="O160" s="78"/>
      <c r="P160" s="78"/>
      <c r="Q160" s="79">
        <f t="shared" si="2"/>
        <v>10.700866000250397</v>
      </c>
      <c r="R160" s="79">
        <f t="shared" si="10"/>
        <v>20.588378514285836</v>
      </c>
      <c r="S160" s="78" t="str">
        <f t="shared" si="11"/>
        <v>29.7761135501558-16.5102263159268i</v>
      </c>
      <c r="T160" s="78">
        <f t="shared" si="12"/>
        <v>30.64160062564796</v>
      </c>
      <c r="U160" s="78">
        <f t="shared" si="13"/>
        <v>-29.007443201819417</v>
      </c>
      <c r="V160" s="78" t="str">
        <f t="shared" si="14"/>
        <v>-0.0143909659278892+0.000233617545196269i</v>
      </c>
      <c r="W160" s="79">
        <f t="shared" si="15"/>
        <v>-36.837056753012618</v>
      </c>
      <c r="X160" s="78">
        <f t="shared" si="16"/>
        <v>359.06996348952612</v>
      </c>
      <c r="Y160" s="78"/>
    </row>
    <row r="161" spans="1:25">
      <c r="A161" s="78">
        <v>6</v>
      </c>
      <c r="B161" s="79">
        <f t="shared" si="3"/>
        <v>1000000</v>
      </c>
      <c r="C161" s="79">
        <f t="shared" si="4"/>
        <v>6283185.307179586</v>
      </c>
      <c r="D161" s="79" t="str">
        <f t="shared" si="5"/>
        <v>6283185.30717959i</v>
      </c>
      <c r="E161" s="80" t="str">
        <f t="shared" si="0"/>
        <v>-0.000235331115156125-0.000157663817999824i</v>
      </c>
      <c r="F161" s="79">
        <f t="shared" si="6"/>
        <v>-70.956165856672783</v>
      </c>
      <c r="G161" s="78">
        <f t="shared" si="7"/>
        <v>-146.17926399871209</v>
      </c>
      <c r="H161" s="78" t="str">
        <f t="shared" si="8"/>
        <v>7.34935945641453-11.3798222195276i</v>
      </c>
      <c r="I161" s="78">
        <f t="shared" si="1"/>
        <v>22.636678719034652</v>
      </c>
      <c r="J161" s="78">
        <f t="shared" si="17"/>
        <v>-57.144665534912853</v>
      </c>
      <c r="K161" s="78" t="str">
        <f t="shared" si="18"/>
        <v>-0.0035237191758512+0.00151929818144845i</v>
      </c>
      <c r="L161" s="79">
        <f t="shared" si="19"/>
        <v>-48.319487137638134</v>
      </c>
      <c r="M161" s="78">
        <f t="shared" si="9"/>
        <v>336.67607046637511</v>
      </c>
      <c r="N161" s="78"/>
      <c r="O161" s="78"/>
      <c r="P161" s="78"/>
      <c r="Q161" s="79">
        <f>8500000/B161</f>
        <v>8.5</v>
      </c>
      <c r="R161" s="79">
        <f t="shared" si="10"/>
        <v>18.588378514285854</v>
      </c>
      <c r="S161" s="78" t="str">
        <f t="shared" si="11"/>
        <v>23.0091789367242-19.1640404906668i</v>
      </c>
      <c r="T161" s="78">
        <f t="shared" si="12"/>
        <v>29.526388214946113</v>
      </c>
      <c r="U161" s="78">
        <f t="shared" si="13"/>
        <v>-39.790467382042557</v>
      </c>
      <c r="V161" s="78" t="str">
        <f t="shared" si="14"/>
        <v>-0.00843625153006788+0.000882180019360683i</v>
      </c>
      <c r="W161" s="79">
        <f t="shared" si="15"/>
        <v>-41.429777641726666</v>
      </c>
      <c r="X161" s="78">
        <f t="shared" si="16"/>
        <v>354.03026861924536</v>
      </c>
      <c r="Y161" s="78"/>
    </row>
    <row r="162" spans="1:25">
      <c r="B162" s="5"/>
      <c r="C162" s="5"/>
      <c r="D162" s="5"/>
      <c r="F162" s="5"/>
      <c r="N162" s="62"/>
    </row>
    <row r="163" spans="1:25">
      <c r="B163" s="5"/>
      <c r="C163" s="5"/>
      <c r="D163" s="5"/>
      <c r="F163" s="5"/>
      <c r="N163" s="62"/>
    </row>
    <row r="164" spans="1:25">
      <c r="B164" s="5"/>
      <c r="C164" s="5"/>
      <c r="D164" s="5"/>
      <c r="F164" s="5"/>
    </row>
    <row r="165" spans="1:25">
      <c r="B165" s="5"/>
      <c r="C165" s="5"/>
      <c r="D165" s="5"/>
      <c r="F165" s="5"/>
    </row>
    <row r="166" spans="1:25">
      <c r="B166" s="5"/>
      <c r="C166" s="5"/>
      <c r="D166" s="5"/>
      <c r="F166" s="5"/>
    </row>
    <row r="167" spans="1:25">
      <c r="B167" s="5"/>
      <c r="C167" s="5"/>
      <c r="D167" s="5"/>
      <c r="F167" s="5"/>
    </row>
    <row r="168" spans="1:25">
      <c r="B168" s="5"/>
      <c r="C168" s="5"/>
      <c r="D168" s="5"/>
      <c r="F168" s="5"/>
    </row>
    <row r="169" spans="1:25">
      <c r="B169" s="5"/>
      <c r="C169" s="5"/>
      <c r="D169" s="5"/>
      <c r="F169" s="5"/>
    </row>
    <row r="170" spans="1:25">
      <c r="B170" s="5"/>
      <c r="C170" s="5"/>
      <c r="D170" s="5"/>
      <c r="F170" s="5"/>
    </row>
    <row r="171" spans="1:25">
      <c r="B171" s="5"/>
      <c r="C171" s="5"/>
      <c r="D171" s="5"/>
      <c r="F171" s="5"/>
    </row>
    <row r="172" spans="1:25">
      <c r="B172" s="5"/>
      <c r="C172" s="5"/>
      <c r="D172" s="5"/>
      <c r="F172" s="5"/>
    </row>
    <row r="173" spans="1:25">
      <c r="B173" s="5"/>
      <c r="C173" s="5"/>
      <c r="D173" s="5"/>
      <c r="F173" s="5"/>
    </row>
    <row r="174" spans="1:25">
      <c r="B174" s="5"/>
      <c r="C174" s="5"/>
      <c r="D174" s="5"/>
      <c r="F174" s="5"/>
    </row>
    <row r="175" spans="1:25">
      <c r="B175" s="5"/>
      <c r="C175" s="5"/>
      <c r="D175" s="5"/>
      <c r="F175" s="5"/>
    </row>
    <row r="176" spans="1:25" s="14" customFormat="1" ht="15.6">
      <c r="A176" s="4"/>
      <c r="B176" s="4"/>
      <c r="C176" s="4"/>
      <c r="D176" s="4"/>
      <c r="E176" s="4"/>
      <c r="F176" s="4"/>
      <c r="G176" s="4"/>
    </row>
    <row r="177" spans="1:7" s="14" customFormat="1" ht="15.6">
      <c r="A177" s="4"/>
      <c r="B177" s="4"/>
      <c r="C177" s="4"/>
      <c r="D177" s="4"/>
      <c r="E177" s="4"/>
      <c r="F177" s="4"/>
      <c r="G177" s="4"/>
    </row>
  </sheetData>
  <sheetProtection algorithmName="SHA-512" hashValue="k8aqMuSzAyaX69jpzCPm3irDNxXQddRSFhM68+67x6hgyOBs5Cqy35sMal9GCdNboHD/LuxOzyTUljRkZ1xj8Q==" saltValue="ovQyZ7Yb+BAxluWRpqVQSA==" spinCount="100000" sheet="1" objects="1" scenarios="1"/>
  <protectedRanges>
    <protectedRange algorithmName="SHA-512" hashValue="CadJWtpDbCZ8ZeWs3/dTSjMpsReZd0HAvDrnUCWrBKdORmC58hdepUKjRGDkJ7A1YuW2ntR12TmDvRYnBanLzA==" saltValue="qWoquHlM+EcpQLHX/mVwxA==" spinCount="100000" sqref="D39 D44 D33 D116 D114 D112 D110 D108 D88:D91 D84:D86 D68:D69 D65:D66 D62:D63 D58:D60 D36:D37 D49 F84:F85 D75:D79" name="Range1"/>
    <protectedRange algorithmName="SHA-512" hashValue="CadJWtpDbCZ8ZeWs3/dTSjMpsReZd0HAvDrnUCWrBKdORmC58hdepUKjRGDkJ7A1YuW2ntR12TmDvRYnBanLzA==" saltValue="qWoquHlM+EcpQLHX/mVwxA==" spinCount="100000" sqref="D45:D47" name="Range1_2"/>
  </protectedRanges>
  <dataConsolidate/>
  <mergeCells count="21">
    <mergeCell ref="S119:AC119"/>
    <mergeCell ref="A108:A109"/>
    <mergeCell ref="A110:A111"/>
    <mergeCell ref="A112:A113"/>
    <mergeCell ref="A114:A115"/>
    <mergeCell ref="A116:A117"/>
    <mergeCell ref="S79:AD81"/>
    <mergeCell ref="A72:J72"/>
    <mergeCell ref="A2:J3"/>
    <mergeCell ref="A29:J30"/>
    <mergeCell ref="A31:J31"/>
    <mergeCell ref="A4:J4"/>
    <mergeCell ref="A70:J71"/>
    <mergeCell ref="A14:J15"/>
    <mergeCell ref="A16:J16"/>
    <mergeCell ref="A32:B32"/>
    <mergeCell ref="A38:B38"/>
    <mergeCell ref="A48:B48"/>
    <mergeCell ref="A62:B63"/>
    <mergeCell ref="A65:B66"/>
    <mergeCell ref="A68:B69"/>
  </mergeCells>
  <phoneticPr fontId="11" type="noConversion"/>
  <conditionalFormatting sqref="D28">
    <cfRule type="cellIs" dxfId="1" priority="4" operator="notBetween">
      <formula>$O$121</formula>
      <formula>$P$121</formula>
    </cfRule>
  </conditionalFormatting>
  <conditionalFormatting sqref="D81">
    <cfRule type="expression" dxfId="0" priority="2">
      <formula>ABS($D$85-$D$84)&lt;20</formula>
    </cfRule>
  </conditionalFormatting>
  <dataValidations count="5">
    <dataValidation type="list" allowBlank="1" showInputMessage="1" showErrorMessage="1" sqref="D43">
      <formula1>"1,2,3,4,5,6,7,8,9,10"</formula1>
    </dataValidation>
    <dataValidation type="list" allowBlank="1" showInputMessage="1" showErrorMessage="1" sqref="D57">
      <formula1>"0,1,2,3,4,5,6,7,8,9,10,11,12,13,14,15,16,17,18,19,20,21,22,23,24,25,26,27,28,29,30"</formula1>
    </dataValidation>
    <dataValidation type="list" allowBlank="1" showInputMessage="1" showErrorMessage="1" sqref="B12">
      <formula1>"FAN251015, FAN251030, FAN251040"</formula1>
    </dataValidation>
    <dataValidation type="list" allowBlank="1" showInputMessage="1" showErrorMessage="1" sqref="D28">
      <formula1>"200,250,300,350,400,450,500,550,600,650,700,750,800,850,900,950,1000,1050,1100,1150,1200,1300,1400,1500,1600,1700,1800,1900,2000,2100,2200"</formula1>
    </dataValidation>
    <dataValidation type="list" allowBlank="1" showInputMessage="1" showErrorMessage="1" sqref="D53">
      <formula1>"1,2,3,4,5,6,7,8,9,10,11,12,13,14,15,16,17,18,19,20,21,22,23,24,25,26,27,28,29,30"</formula1>
    </dataValidation>
  </dataValidations>
  <pageMargins left="0.25" right="0.25" top="0.75" bottom="0.75" header="0.3" footer="0.3"/>
  <pageSetup paperSize="8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6EE7C8849A5C45A36CFD56FD558130" ma:contentTypeVersion="3" ma:contentTypeDescription="Create a new document." ma:contentTypeScope="" ma:versionID="03a2f360db6626266e9a083497960b66">
  <xsd:schema xmlns:xsd="http://www.w3.org/2001/XMLSchema" xmlns:xs="http://www.w3.org/2001/XMLSchema" xmlns:p="http://schemas.microsoft.com/office/2006/metadata/properties" xmlns:ns2="0998f66b-55e4-4243-9280-f35ae9cfd8b5" targetNamespace="http://schemas.microsoft.com/office/2006/metadata/properties" ma:root="true" ma:fieldsID="59c9a99471d09297786768a00e97b66a" ns2:_="">
    <xsd:import namespace="0998f66b-55e4-4243-9280-f35ae9cfd8b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8f66b-55e4-4243-9280-f35ae9cfd8b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98f66b-55e4-4243-9280-f35ae9cfd8b5">FUUCS4QZAH6U-755-9</_dlc_DocId>
    <_dlc_DocIdUrl xmlns="0998f66b-55e4-4243-9280-f35ae9cfd8b5">
      <Url>http://theconnection.onsemi.com/business/cp/applications/npd/_layouts/15/DocIdRedir.aspx?ID=FUUCS4QZAH6U-755-9</Url>
      <Description>FUUCS4QZAH6U-755-9</Description>
    </_dlc_DocIdUrl>
  </documentManagement>
</p:properties>
</file>

<file path=customXml/itemProps1.xml><?xml version="1.0" encoding="utf-8"?>
<ds:datastoreItem xmlns:ds="http://schemas.openxmlformats.org/officeDocument/2006/customXml" ds:itemID="{3C5F48BA-15DF-4957-8E33-4BD1479181B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6B65729-BE9F-448D-9F8B-ACD865388F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C9ADAE-AB1C-420B-BD8D-FADFABC78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98f66b-55e4-4243-9280-f35ae9cfd8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402DEE-0E73-4FBD-A95C-00853A3EEFE7}">
  <ds:schemaRefs>
    <ds:schemaRef ds:uri="http://schemas.microsoft.com/office/2006/metadata/properties"/>
    <ds:schemaRef ds:uri="http://purl.org/dc/terms/"/>
    <ds:schemaRef ds:uri="0998f66b-55e4-4243-9280-f35ae9cfd8b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2021-06-17T08:53:48Z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0x010100516EE7C8849A5C45A36CFD56FD558130</vt:lpwstr>
  </property>
  <property fmtid="{D5CDD505-2E9C-101B-9397-08002B2CF9AE}" pid="3" name="_dlc_DocIdItemGuid">
    <vt:lpwstr>5e94a7b9-d116-460d-b108-ec50d58977b6</vt:lpwstr>
  </property>
</Properties>
</file>