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g8ctf\Documents\ON_P2_AE\NCP8129X\"/>
    </mc:Choice>
  </mc:AlternateContent>
  <bookViews>
    <workbookView xWindow="480" yWindow="60" windowWidth="13395" windowHeight="9525"/>
  </bookViews>
  <sheets>
    <sheet name="NCP81295 Design Tool" sheetId="1" r:id="rId1"/>
  </sheets>
  <externalReferences>
    <externalReference r:id="rId2"/>
  </externalReferences>
  <definedNames>
    <definedName name="ACS">'NCP81295 Design Tool'!$C$55</definedName>
    <definedName name="AIMON">'NCP81295 Design Tool'!$C$54</definedName>
    <definedName name="AVSS">'NCP81295 Design Tool'!$C$53</definedName>
    <definedName name="CON">'NCP81295 Design Tool'!$C$75</definedName>
    <definedName name="CON_US">'NCP81295 Design Tool'!$E$75</definedName>
    <definedName name="COUNT">'NCP81295 Design Tool'!$C$46</definedName>
    <definedName name="CSS">'NCP81295 Design Tool'!$C$72</definedName>
    <definedName name="CSS_US">'NCP81295 Design Tool'!$E$72</definedName>
    <definedName name="CTEMP">'NCP81295 Design Tool'!$C$67</definedName>
    <definedName name="CVDD">'NCP81295 Design Tool'!$C$68</definedName>
    <definedName name="CVINF">'NCP81295 Design Tool'!$C$64</definedName>
    <definedName name="GIMON">'NCP81295 Design Tool'!$C$79</definedName>
    <definedName name="GIMON_US">'NCP81295 Design Tool'!$E$79</definedName>
    <definedName name="ICLREF">'NCP81295 Design Tool'!$C$56</definedName>
    <definedName name="IDOC">'NCP81295 Design Tool'!$C$83</definedName>
    <definedName name="IDOC_US">'NCP81295 Design Tool'!$E$83</definedName>
    <definedName name="IMAX">'NCP81295 Design Tool'!$C$44</definedName>
    <definedName name="IMAXC">'NCP81295 Design Tool'!$C$51</definedName>
    <definedName name="IOCP">'NCP81295 Design Tool'!$C$81</definedName>
    <definedName name="IOCP_US">'NCP81295 Design Tool'!$E$81</definedName>
    <definedName name="ION">'NCP81295 Design Tool'!$C$59</definedName>
    <definedName name="ISS">'NCP81295 Design Tool'!$C$52</definedName>
    <definedName name="RCLREF">'NCP81295 Design Tool'!$C$73</definedName>
    <definedName name="RCLREF_US">'NCP81295 Design Tool'!$E$73</definedName>
    <definedName name="RCS">'NCP81295 Design Tool'!$C$69</definedName>
    <definedName name="RDOC">'NCP81295 Design Tool'!$C$66</definedName>
    <definedName name="RGOK">'NCP81295 Design Tool'!$C$65</definedName>
    <definedName name="RIMON">'NCP81295 Design Tool'!$C$74</definedName>
    <definedName name="RIMON_US">'NCP81295 Design Tool'!$E$74</definedName>
    <definedName name="RVINF">'NCP81295 Design Tool'!$C$63</definedName>
    <definedName name="TON">'NCP81295 Design Tool'!$C$48</definedName>
    <definedName name="TSS">'NCP81295 Design Tool'!$C$45</definedName>
    <definedName name="VCL_TH">'NCP81295 Design Tool'!$C$57</definedName>
    <definedName name="VIMONX">'NCP81295 Design Tool'!$C$47</definedName>
    <definedName name="VIMONX1">'NCP81295 Design Tool'!$C$85</definedName>
    <definedName name="VIMONX2">'NCP81295 Design Tool'!$C$86</definedName>
    <definedName name="VIN">'NCP81295 Design Tool'!$C$43</definedName>
    <definedName name="VOC_TH">'NCP81295 Design Tool'!$C$58</definedName>
    <definedName name="VSWON">'NCP81295 Design Tool'!$C$60</definedName>
  </definedNames>
  <calcPr calcId="162913"/>
  <customWorkbookViews>
    <customWorkbookView name="Wen Jing Zhang - Personal View" guid="{64D58C90-34C7-435C-AAC0-C09AFC76F6E4}" mergeInterval="0" personalView="1" maximized="1" xWindow="1358" yWindow="-8" windowWidth="1936" windowHeight="1216" activeSheetId="1"/>
  </customWorkbookViews>
</workbook>
</file>

<file path=xl/calcChain.xml><?xml version="1.0" encoding="utf-8"?>
<calcChain xmlns="http://schemas.openxmlformats.org/spreadsheetml/2006/main">
  <c r="E80" i="1" l="1"/>
  <c r="C72" i="1"/>
  <c r="C80" i="1" s="1"/>
  <c r="E83" i="1" l="1"/>
  <c r="E81" i="1"/>
  <c r="C51" i="1" l="1"/>
  <c r="C73" i="1" s="1"/>
  <c r="C83" i="1" l="1"/>
  <c r="C81" i="1"/>
  <c r="E93" i="1"/>
  <c r="E92" i="1"/>
  <c r="E91" i="1"/>
  <c r="E90" i="1"/>
  <c r="E78" i="1"/>
  <c r="E87" i="1" l="1"/>
  <c r="C75" i="1"/>
  <c r="C87" i="1" l="1"/>
  <c r="C93" i="1"/>
  <c r="E82" i="1"/>
  <c r="E84" i="1"/>
  <c r="E79" i="1"/>
  <c r="E85" i="1" s="1"/>
  <c r="C74" i="1" l="1"/>
  <c r="C90" i="1"/>
  <c r="E86" i="1"/>
  <c r="C82" i="1" l="1"/>
  <c r="C91" i="1"/>
  <c r="C78" i="1"/>
  <c r="C79" i="1"/>
  <c r="C92" i="1"/>
  <c r="C85" i="1" l="1"/>
  <c r="C86" i="1"/>
  <c r="C84" i="1"/>
</calcChain>
</file>

<file path=xl/sharedStrings.xml><?xml version="1.0" encoding="utf-8"?>
<sst xmlns="http://schemas.openxmlformats.org/spreadsheetml/2006/main" count="213" uniqueCount="147">
  <si>
    <t>VIN</t>
  </si>
  <si>
    <t>Input Voltage</t>
  </si>
  <si>
    <t>IMAX</t>
  </si>
  <si>
    <t>Soft Start Time</t>
  </si>
  <si>
    <t>TSS</t>
  </si>
  <si>
    <t>COUNT</t>
  </si>
  <si>
    <t>RGOK</t>
  </si>
  <si>
    <t>RDOC</t>
  </si>
  <si>
    <t>CVINF</t>
  </si>
  <si>
    <t>RVINF</t>
  </si>
  <si>
    <t>CVDD</t>
  </si>
  <si>
    <t>RCS</t>
  </si>
  <si>
    <t>uF</t>
  </si>
  <si>
    <t>V</t>
  </si>
  <si>
    <t>A</t>
  </si>
  <si>
    <t>ms</t>
  </si>
  <si>
    <t>CSS</t>
  </si>
  <si>
    <t>RCLREF</t>
  </si>
  <si>
    <t>RIMON</t>
  </si>
  <si>
    <t>RESULTS:</t>
  </si>
  <si>
    <t>SS TIME</t>
  </si>
  <si>
    <t>nF</t>
  </si>
  <si>
    <t>User Input</t>
  </si>
  <si>
    <t>Results</t>
  </si>
  <si>
    <t>Error (Outside Limits)</t>
  </si>
  <si>
    <t>IOCP</t>
  </si>
  <si>
    <t>IDOC</t>
  </si>
  <si>
    <t>GOK pullup R</t>
  </si>
  <si>
    <t>DOC pullup R</t>
  </si>
  <si>
    <t>Soft Start time</t>
  </si>
  <si>
    <t>CONSTANTS:</t>
  </si>
  <si>
    <t>IMAXC</t>
  </si>
  <si>
    <t>ISS</t>
  </si>
  <si>
    <t>AVSS</t>
  </si>
  <si>
    <t>AIMON</t>
  </si>
  <si>
    <t>ACS</t>
  </si>
  <si>
    <t>VCL_TH</t>
  </si>
  <si>
    <t>VOC_TH</t>
  </si>
  <si>
    <t>Soft Start Voltage Gain</t>
  </si>
  <si>
    <t>IMON Current Gain</t>
  </si>
  <si>
    <t>CS Current Gain</t>
  </si>
  <si>
    <t xml:space="preserve">CLREF Source Current </t>
  </si>
  <si>
    <t>SS Source Current</t>
  </si>
  <si>
    <t>uA</t>
  </si>
  <si>
    <t>V/V</t>
  </si>
  <si>
    <t>uA/A</t>
  </si>
  <si>
    <t>%</t>
  </si>
  <si>
    <t>OCP Trip point</t>
  </si>
  <si>
    <t>DOC Trip Point</t>
  </si>
  <si>
    <t>Constants</t>
  </si>
  <si>
    <t>mV/A</t>
  </si>
  <si>
    <t>From Datasheet Typical</t>
  </si>
  <si>
    <t>VCLREF</t>
  </si>
  <si>
    <t>RMIMON</t>
  </si>
  <si>
    <t>VIMON Transresistance(rm)</t>
  </si>
  <si>
    <t>VIMON Voltage @ DOC</t>
  </si>
  <si>
    <t>ICLREF</t>
  </si>
  <si>
    <r>
      <t>k</t>
    </r>
    <r>
      <rPr>
        <sz val="11"/>
        <color theme="1"/>
        <rFont val="Calibri"/>
        <family val="2"/>
      </rPr>
      <t>Ω</t>
    </r>
  </si>
  <si>
    <t>Ω</t>
  </si>
  <si>
    <t>Devices in Parallel</t>
  </si>
  <si>
    <t>LIMITS:</t>
  </si>
  <si>
    <t>MIN</t>
  </si>
  <si>
    <t>MAX</t>
  </si>
  <si>
    <t>VIMON Voltage @ IMAX</t>
  </si>
  <si>
    <t>VIMON Voltage @ Peak</t>
  </si>
  <si>
    <t>CON</t>
  </si>
  <si>
    <t>ION</t>
  </si>
  <si>
    <t>ON Current Source</t>
  </si>
  <si>
    <t>TON</t>
  </si>
  <si>
    <t>Delay from VIN &gt;UVLO to SoftStart (If ON not externally driven)</t>
  </si>
  <si>
    <t>ON Startup Delay</t>
  </si>
  <si>
    <t>ON Rising Trip Point</t>
  </si>
  <si>
    <t>VSWON</t>
  </si>
  <si>
    <t>INPUTS VARIABLE:</t>
  </si>
  <si>
    <t>Max Continous Current (DOC Trip)</t>
  </si>
  <si>
    <t>CALCULATED</t>
  </si>
  <si>
    <t>USER INPUT</t>
  </si>
  <si>
    <t>Standalone VCLREF generated voltage (Can drive externally at this voltage to create same limits)</t>
  </si>
  <si>
    <t>Maximum VIMON voltage into ADC during normal operation (Up until DOC trip point)</t>
  </si>
  <si>
    <t>Maximum VIMON voltage into ADC over entire current range (Up until current limit/latchoff/hiccup trip point)</t>
  </si>
  <si>
    <t>Input System VIN voltage</t>
  </si>
  <si>
    <t>Input maximum continous system current required</t>
  </si>
  <si>
    <t>Input target soft start time</t>
  </si>
  <si>
    <t>Input amount of devices used in parallel</t>
  </si>
  <si>
    <t>From Datasheet Max IAVE</t>
  </si>
  <si>
    <t>IAVE</t>
  </si>
  <si>
    <t>IPEAK</t>
  </si>
  <si>
    <t>VINL</t>
  </si>
  <si>
    <t>TSSL</t>
  </si>
  <si>
    <t>IAVEL</t>
  </si>
  <si>
    <t>IPEAKL</t>
  </si>
  <si>
    <t>VCLREFL</t>
  </si>
  <si>
    <t>TONL</t>
  </si>
  <si>
    <t>RCSL</t>
  </si>
  <si>
    <t>VIMONX</t>
  </si>
  <si>
    <t>VIMONX1</t>
  </si>
  <si>
    <t>VIMONX2</t>
  </si>
  <si>
    <t>COMPONENT OUTPUTS FIXED:</t>
  </si>
  <si>
    <t>COMPONENT OUTPUTS VARIABLE:</t>
  </si>
  <si>
    <t>CVTEMP</t>
  </si>
  <si>
    <t xml:space="preserve">PCB Resistance and RDSON matching will affect this value when in parallel (Based on perfectly matched devices) </t>
  </si>
  <si>
    <t>User input for closest component value</t>
  </si>
  <si>
    <t>Used for conditional format rules</t>
  </si>
  <si>
    <t>Max Continuous Current per device</t>
  </si>
  <si>
    <t>Current Limit Set Voltage</t>
  </si>
  <si>
    <t>Over Current latchoff/hiccup (Peak)</t>
  </si>
  <si>
    <t>Peak Current per device</t>
  </si>
  <si>
    <t>Over Current Indicator(DOC)</t>
  </si>
  <si>
    <t>Max Continous Current per device</t>
  </si>
  <si>
    <t>Input maximum VIMON target voltage into ADC @ max continous current</t>
  </si>
  <si>
    <t>Input delay required from VIN &gt;UVLO to SoftStart (If ON not externally driven)</t>
  </si>
  <si>
    <t>-&gt; USER INPUT REQUIRED</t>
  </si>
  <si>
    <r>
      <t xml:space="preserve">Current set resistor </t>
    </r>
    <r>
      <rPr>
        <b/>
        <sz val="11"/>
        <color theme="1"/>
        <rFont val="Calibri"/>
        <family val="2"/>
        <scheme val="minor"/>
      </rPr>
      <t>(ONE PER DEVICE)</t>
    </r>
  </si>
  <si>
    <r>
      <t xml:space="preserve">VDD filter CAP </t>
    </r>
    <r>
      <rPr>
        <b/>
        <sz val="11"/>
        <color theme="1"/>
        <rFont val="Calibri"/>
        <family val="2"/>
        <scheme val="minor"/>
      </rPr>
      <t>(ONE PER DEVICE)</t>
    </r>
  </si>
  <si>
    <r>
      <t xml:space="preserve">VINF Filter Resistor </t>
    </r>
    <r>
      <rPr>
        <b/>
        <sz val="11"/>
        <color theme="1"/>
        <rFont val="Calibri"/>
        <family val="2"/>
        <scheme val="minor"/>
      </rPr>
      <t>(ONE PER DEVICE)</t>
    </r>
  </si>
  <si>
    <r>
      <t xml:space="preserve">VINF Filter Capacitor </t>
    </r>
    <r>
      <rPr>
        <b/>
        <sz val="11"/>
        <color theme="1"/>
        <rFont val="Calibri"/>
        <family val="2"/>
        <scheme val="minor"/>
      </rPr>
      <t>(ONE PER DEVICE)</t>
    </r>
  </si>
  <si>
    <r>
      <t xml:space="preserve">Soft Start Capacitor  </t>
    </r>
    <r>
      <rPr>
        <b/>
        <sz val="11"/>
        <color theme="1"/>
        <rFont val="Calibri"/>
        <family val="2"/>
        <scheme val="minor"/>
      </rPr>
      <t>(ONE PER DEVICE)</t>
    </r>
  </si>
  <si>
    <r>
      <t xml:space="preserve">Current Limit Resistor </t>
    </r>
    <r>
      <rPr>
        <b/>
        <sz val="11"/>
        <color theme="1"/>
        <rFont val="Calibri"/>
        <family val="2"/>
        <scheme val="minor"/>
      </rPr>
      <t>(ONE PER DEVICE)</t>
    </r>
  </si>
  <si>
    <r>
      <t xml:space="preserve">Current Monitor Resistor </t>
    </r>
    <r>
      <rPr>
        <b/>
        <sz val="11"/>
        <color theme="1"/>
        <rFont val="Calibri"/>
        <family val="2"/>
        <scheme val="minor"/>
      </rPr>
      <t>(ONE PER DEVICE)</t>
    </r>
  </si>
  <si>
    <r>
      <t xml:space="preserve">ON Delay Capacitor </t>
    </r>
    <r>
      <rPr>
        <b/>
        <sz val="11"/>
        <color theme="1"/>
        <rFont val="Calibri"/>
        <family val="2"/>
        <scheme val="minor"/>
      </rPr>
      <t>(ONE PER DEVICE)</t>
    </r>
  </si>
  <si>
    <r>
      <t xml:space="preserve">Recommended to be fixed </t>
    </r>
    <r>
      <rPr>
        <sz val="11"/>
        <color theme="1"/>
        <rFont val="Calibri"/>
        <family val="2"/>
        <scheme val="minor"/>
      </rPr>
      <t>(Can short VTEMP nodes together when in parallel, will output highest device temp)</t>
    </r>
  </si>
  <si>
    <t>Recommended to be fixed  (DO NOT short VINF node together when in parallel)</t>
  </si>
  <si>
    <t>Recommended to be fixed (DO NOT short VINF node together when in parallel)</t>
  </si>
  <si>
    <t xml:space="preserve">User selectable based on system (Can short DOC nodes together when in parallel, only one pullup required if shorted) </t>
  </si>
  <si>
    <t xml:space="preserve">User selectable based on system (Can short GOK nodes together when in parallel, only one pullup required if shorted) </t>
  </si>
  <si>
    <r>
      <t>Recommended to be fixed (</t>
    </r>
    <r>
      <rPr>
        <b/>
        <sz val="11"/>
        <color theme="1"/>
        <rFont val="Calibri"/>
        <family val="2"/>
        <scheme val="minor"/>
      </rPr>
      <t>DO NOT</t>
    </r>
    <r>
      <rPr>
        <sz val="11"/>
        <color theme="1"/>
        <rFont val="Calibri"/>
        <family val="2"/>
        <scheme val="minor"/>
      </rPr>
      <t xml:space="preserve"> short VDD nodes together when in parallel)</t>
    </r>
  </si>
  <si>
    <r>
      <t>Recommended to be fixed @ 2k</t>
    </r>
    <r>
      <rPr>
        <sz val="11"/>
        <color theme="1"/>
        <rFont val="Calibri"/>
        <family val="2"/>
      </rPr>
      <t>Ω for all designs</t>
    </r>
    <r>
      <rPr>
        <b/>
        <sz val="11"/>
        <color theme="1"/>
        <rFont val="Calibri"/>
        <family val="2"/>
      </rPr>
      <t xml:space="preserve"> (</t>
    </r>
    <r>
      <rPr>
        <b/>
        <sz val="11"/>
        <color theme="1"/>
        <rFont val="Calibri"/>
        <family val="2"/>
        <scheme val="minor"/>
      </rPr>
      <t>DO NOT</t>
    </r>
    <r>
      <rPr>
        <sz val="11"/>
        <color theme="1"/>
        <rFont val="Calibri"/>
        <family val="2"/>
        <scheme val="minor"/>
      </rPr>
      <t xml:space="preserve"> Short together when in Parallel).</t>
    </r>
  </si>
  <si>
    <r>
      <rPr>
        <b/>
        <sz val="11"/>
        <color theme="1"/>
        <rFont val="Calibri"/>
        <family val="2"/>
        <scheme val="minor"/>
      </rPr>
      <t>Calculation based on one component per device*.</t>
    </r>
    <r>
      <rPr>
        <sz val="11"/>
        <color theme="1"/>
        <rFont val="Calibri"/>
        <family val="2"/>
        <scheme val="minor"/>
      </rPr>
      <t xml:space="preserve"> (Must connect SS nodes together when in parallel to allow current sharing during soft start)</t>
    </r>
  </si>
  <si>
    <r>
      <rPr>
        <b/>
        <sz val="11"/>
        <color theme="1"/>
        <rFont val="Calibri"/>
        <family val="2"/>
        <scheme val="minor"/>
      </rPr>
      <t>Calculation based on one component per device*</t>
    </r>
    <r>
      <rPr>
        <sz val="11"/>
        <color theme="1"/>
        <rFont val="Calibri"/>
        <family val="2"/>
        <scheme val="minor"/>
      </rPr>
      <t>. (Recommended to connect IMON nodes together when in parallel to increase accuracy)</t>
    </r>
  </si>
  <si>
    <r>
      <rPr>
        <b/>
        <sz val="11"/>
        <color theme="1"/>
        <rFont val="Calibri"/>
        <family val="2"/>
        <scheme val="minor"/>
      </rPr>
      <t>Calculation based on one component per device*</t>
    </r>
    <r>
      <rPr>
        <sz val="11"/>
        <color theme="1"/>
        <rFont val="Calibri"/>
        <family val="2"/>
        <scheme val="minor"/>
      </rPr>
      <t>. (Must connect ON nodes together when in parallel)(CON not required if ON externally driven)</t>
    </r>
  </si>
  <si>
    <r>
      <rPr>
        <b/>
        <sz val="11"/>
        <color theme="1"/>
        <rFont val="Calibri"/>
        <family val="2"/>
        <scheme val="minor"/>
      </rPr>
      <t>Calculation based on one component per device*</t>
    </r>
    <r>
      <rPr>
        <sz val="11"/>
        <color theme="1"/>
        <rFont val="Calibri"/>
        <family val="2"/>
        <scheme val="minor"/>
      </rPr>
      <t>. (Recommended to connect CLREF nodes together when in parallel to increase accuracy)(RCLREF not required when driven by external source)</t>
    </r>
  </si>
  <si>
    <t xml:space="preserve">*Can combine component values together into one master component if desirable. </t>
  </si>
  <si>
    <r>
      <t>VTEMP filter cap</t>
    </r>
    <r>
      <rPr>
        <b/>
        <sz val="11"/>
        <color theme="1"/>
        <rFont val="Calibri"/>
        <family val="2"/>
        <scheme val="minor"/>
      </rPr>
      <t xml:space="preserve"> (ONE PER DEVICE)</t>
    </r>
  </si>
  <si>
    <t>COMPONENT OUTPUTS COMBINED:</t>
  </si>
  <si>
    <t>Soft Start Capacitor * COUNT in parallel</t>
  </si>
  <si>
    <t>Value when SS nodes are shorted together and only one master component is shared across all devices in parallel</t>
  </si>
  <si>
    <t>Value when CLREF nodes are shorted together and only one master component is shared across all devices in parallel</t>
  </si>
  <si>
    <t>Value when IMON nodes are shorted together and only one master component is shared across all devices in parallel</t>
  </si>
  <si>
    <t>Current Monitor Resistor / COUNT in parallel</t>
  </si>
  <si>
    <t>ON Delay Capacitor * COUNT in parallel</t>
  </si>
  <si>
    <t>Current Limit Resistor / COUNT in parallel</t>
  </si>
  <si>
    <t>Value when ON nodes are shorted together and only one master component is shared across all devices in parallel</t>
  </si>
  <si>
    <t>CSS_T</t>
  </si>
  <si>
    <t>RCLREF_T</t>
  </si>
  <si>
    <t>RIMON_T</t>
  </si>
  <si>
    <t>CON_T</t>
  </si>
  <si>
    <t>Used to calculate voltage to current conversion ratio in ADC converter. (Calculation based on combined value with CLREF nodes shorted)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</si>
</sst>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ck">
        <color rgb="FFBE12B6"/>
      </left>
      <right style="thick">
        <color rgb="FFBE12B6"/>
      </right>
      <top style="thick">
        <color rgb="FFBE12B6"/>
      </top>
      <bottom style="thick">
        <color rgb="FFBE12B6"/>
      </bottom>
      <diagonal/>
    </border>
    <border>
      <left style="thick">
        <color rgb="FFBE12B6"/>
      </left>
      <right style="thick">
        <color rgb="FFBE12B6"/>
      </right>
      <top style="thick">
        <color rgb="FFBE12B6"/>
      </top>
      <bottom/>
      <diagonal/>
    </border>
    <border>
      <left style="thick">
        <color rgb="FFBE12B6"/>
      </left>
      <right style="thick">
        <color rgb="FFBE12B6"/>
      </right>
      <top/>
      <bottom/>
      <diagonal/>
    </border>
    <border>
      <left style="thick">
        <color rgb="FFBE12B6"/>
      </left>
      <right style="thick">
        <color rgb="FFBE12B6"/>
      </right>
      <top/>
      <bottom style="thick">
        <color rgb="FFBE12B6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Protection="1"/>
    <xf numFmtId="0" fontId="0" fillId="0" borderId="0" xfId="0" applyProtection="1"/>
    <xf numFmtId="0" fontId="0" fillId="0" borderId="0" xfId="0" applyFont="1" applyProtection="1"/>
    <xf numFmtId="0" fontId="0" fillId="0" borderId="0" xfId="0" applyFill="1" applyProtection="1"/>
    <xf numFmtId="0" fontId="0" fillId="5" borderId="0" xfId="0" applyFill="1" applyProtection="1"/>
    <xf numFmtId="0" fontId="0" fillId="3" borderId="0" xfId="0" applyFill="1" applyProtection="1"/>
    <xf numFmtId="1" fontId="0" fillId="3" borderId="0" xfId="0" applyNumberFormat="1" applyFill="1" applyProtection="1"/>
    <xf numFmtId="165" fontId="0" fillId="3" borderId="0" xfId="0" applyNumberFormat="1" applyFill="1" applyProtection="1"/>
    <xf numFmtId="164" fontId="0" fillId="3" borderId="0" xfId="0" applyNumberFormat="1" applyFill="1" applyProtection="1"/>
    <xf numFmtId="2" fontId="0" fillId="3" borderId="0" xfId="0" applyNumberFormat="1" applyFill="1" applyProtection="1"/>
    <xf numFmtId="164" fontId="0" fillId="0" borderId="0" xfId="0" applyNumberFormat="1" applyFill="1" applyProtection="1"/>
    <xf numFmtId="2" fontId="0" fillId="0" borderId="0" xfId="0" applyNumberFormat="1" applyFill="1" applyProtection="1"/>
    <xf numFmtId="0" fontId="0" fillId="4" borderId="0" xfId="0" applyFill="1" applyProtection="1"/>
    <xf numFmtId="0" fontId="0" fillId="2" borderId="1" xfId="0" applyFill="1" applyBorder="1" applyProtection="1"/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164" fontId="0" fillId="2" borderId="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0" fontId="3" fillId="0" borderId="0" xfId="0" quotePrefix="1" applyFont="1" applyProtection="1"/>
    <xf numFmtId="2" fontId="0" fillId="2" borderId="3" xfId="0" applyNumberFormat="1" applyFill="1" applyBorder="1" applyProtection="1">
      <protection locked="0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1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E12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Maximum CLOAD vs SoftStart Time</a:t>
            </a:r>
            <a:r>
              <a:rPr lang="en-US" sz="1400" baseline="0"/>
              <a:t> (CS = 2k</a:t>
            </a:r>
            <a:r>
              <a:rPr lang="el-GR" sz="1400" b="1" i="0" u="none" strike="noStrike" baseline="0">
                <a:effectLst/>
              </a:rPr>
              <a:t>Ω</a:t>
            </a:r>
            <a:r>
              <a:rPr lang="en-US" sz="1400" baseline="0"/>
              <a:t>, RLOAD = </a:t>
            </a:r>
            <a:r>
              <a:rPr lang="en-US" altLang="zh-CN" sz="1400" baseline="0"/>
              <a:t>1.2</a:t>
            </a:r>
            <a:r>
              <a:rPr lang="el-GR" sz="1400" baseline="0"/>
              <a:t>Ω</a:t>
            </a:r>
            <a:r>
              <a:rPr lang="en-US" sz="1400" baseline="0"/>
              <a:t>, VIN = 12V)</a:t>
            </a:r>
            <a:endParaRPr lang="en-US" sz="1400"/>
          </a:p>
        </c:rich>
      </c:tx>
      <c:layout>
        <c:manualLayout>
          <c:xMode val="edge"/>
          <c:yMode val="edge"/>
          <c:x val="0.11238346901552557"/>
          <c:y val="1.89180651061151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58511998275594"/>
          <c:y val="0.10850099433753074"/>
          <c:w val="0.76610056756278089"/>
          <c:h val="0.76085484249518776"/>
        </c:manualLayout>
      </c:layout>
      <c:scatterChart>
        <c:scatterStyle val="lineMarker"/>
        <c:varyColors val="0"/>
        <c:ser>
          <c:idx val="4"/>
          <c:order val="0"/>
          <c:tx>
            <c:v>6x</c:v>
          </c:tx>
          <c:spPr>
            <a:ln>
              <a:solidFill>
                <a:srgbClr val="FF00FF"/>
              </a:solidFill>
            </a:ln>
          </c:spPr>
          <c:marker>
            <c:symbol val="none"/>
          </c:marker>
          <c:xVal>
            <c:numRef>
              <c:f>[1]MaxCLOADvsSS!$A$2:$A$13</c:f>
              <c:numCache>
                <c:formatCode>General</c:formatCode>
                <c:ptCount val="12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120</c:v>
                </c:pt>
                <c:pt idx="11">
                  <c:v>140</c:v>
                </c:pt>
              </c:numCache>
            </c:numRef>
          </c:xVal>
          <c:yVal>
            <c:numRef>
              <c:f>[1]MaxCLOADvsSS!$F$2:$F$13</c:f>
              <c:numCache>
                <c:formatCode>General</c:formatCode>
                <c:ptCount val="12"/>
                <c:pt idx="0">
                  <c:v>8.1</c:v>
                </c:pt>
                <c:pt idx="1">
                  <c:v>10.8</c:v>
                </c:pt>
                <c:pt idx="2">
                  <c:v>16.2</c:v>
                </c:pt>
                <c:pt idx="3">
                  <c:v>24.3</c:v>
                </c:pt>
                <c:pt idx="4">
                  <c:v>31.319999999999997</c:v>
                </c:pt>
                <c:pt idx="5">
                  <c:v>37.800000000000004</c:v>
                </c:pt>
                <c:pt idx="6">
                  <c:v>43.2</c:v>
                </c:pt>
                <c:pt idx="7">
                  <c:v>48.6</c:v>
                </c:pt>
                <c:pt idx="8">
                  <c:v>54</c:v>
                </c:pt>
                <c:pt idx="9">
                  <c:v>59.4</c:v>
                </c:pt>
                <c:pt idx="10">
                  <c:v>70.2</c:v>
                </c:pt>
                <c:pt idx="11">
                  <c:v>86.4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D44-487D-B1C8-44D47F060A46}"/>
            </c:ext>
          </c:extLst>
        </c:ser>
        <c:ser>
          <c:idx val="3"/>
          <c:order val="1"/>
          <c:tx>
            <c:strRef>
              <c:f>[1]MaxCLOADvsSS!$E$1</c:f>
              <c:strCache>
                <c:ptCount val="1"/>
                <c:pt idx="0">
                  <c:v>4x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[1]MaxCLOADvsSS!$A$2:$A$13</c:f>
              <c:numCache>
                <c:formatCode>General</c:formatCode>
                <c:ptCount val="12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120</c:v>
                </c:pt>
                <c:pt idx="11">
                  <c:v>140</c:v>
                </c:pt>
              </c:numCache>
            </c:numRef>
          </c:xVal>
          <c:yVal>
            <c:numRef>
              <c:f>[1]MaxCLOADvsSS!$E$2:$E$13</c:f>
              <c:numCache>
                <c:formatCode>General</c:formatCode>
                <c:ptCount val="12"/>
                <c:pt idx="0">
                  <c:v>5.4</c:v>
                </c:pt>
                <c:pt idx="1">
                  <c:v>7.2</c:v>
                </c:pt>
                <c:pt idx="2">
                  <c:v>10.8</c:v>
                </c:pt>
                <c:pt idx="3">
                  <c:v>16.2</c:v>
                </c:pt>
                <c:pt idx="4">
                  <c:v>20.88</c:v>
                </c:pt>
                <c:pt idx="5">
                  <c:v>25.2</c:v>
                </c:pt>
                <c:pt idx="6">
                  <c:v>28.8</c:v>
                </c:pt>
                <c:pt idx="7">
                  <c:v>32.4</c:v>
                </c:pt>
                <c:pt idx="8">
                  <c:v>36</c:v>
                </c:pt>
                <c:pt idx="9">
                  <c:v>39.6</c:v>
                </c:pt>
                <c:pt idx="10">
                  <c:v>46.800000000000004</c:v>
                </c:pt>
                <c:pt idx="11">
                  <c:v>57.6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D44-487D-B1C8-44D47F060A46}"/>
            </c:ext>
          </c:extLst>
        </c:ser>
        <c:ser>
          <c:idx val="2"/>
          <c:order val="2"/>
          <c:tx>
            <c:strRef>
              <c:f>[1]MaxCLOADvsSS!$D$1</c:f>
              <c:strCache>
                <c:ptCount val="1"/>
                <c:pt idx="0">
                  <c:v>3x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[1]MaxCLOADvsSS!$A$2:$A$13</c:f>
              <c:numCache>
                <c:formatCode>General</c:formatCode>
                <c:ptCount val="12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120</c:v>
                </c:pt>
                <c:pt idx="11">
                  <c:v>140</c:v>
                </c:pt>
              </c:numCache>
            </c:numRef>
          </c:xVal>
          <c:yVal>
            <c:numRef>
              <c:f>[1]MaxCLOADvsSS!$D$2:$D$13</c:f>
              <c:numCache>
                <c:formatCode>General</c:formatCode>
                <c:ptCount val="12"/>
                <c:pt idx="0">
                  <c:v>4.05</c:v>
                </c:pt>
                <c:pt idx="1">
                  <c:v>5.4</c:v>
                </c:pt>
                <c:pt idx="2">
                  <c:v>8.1</c:v>
                </c:pt>
                <c:pt idx="3">
                  <c:v>12.15</c:v>
                </c:pt>
                <c:pt idx="4">
                  <c:v>15.659999999999998</c:v>
                </c:pt>
                <c:pt idx="5">
                  <c:v>18.900000000000002</c:v>
                </c:pt>
                <c:pt idx="6">
                  <c:v>21.6</c:v>
                </c:pt>
                <c:pt idx="7">
                  <c:v>24.3</c:v>
                </c:pt>
                <c:pt idx="8">
                  <c:v>27</c:v>
                </c:pt>
                <c:pt idx="9">
                  <c:v>29.7</c:v>
                </c:pt>
                <c:pt idx="10">
                  <c:v>35.1</c:v>
                </c:pt>
                <c:pt idx="11">
                  <c:v>43.2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D44-487D-B1C8-44D47F060A46}"/>
            </c:ext>
          </c:extLst>
        </c:ser>
        <c:ser>
          <c:idx val="0"/>
          <c:order val="3"/>
          <c:tx>
            <c:strRef>
              <c:f>[1]MaxCLOADvsSS!$C$1</c:f>
              <c:strCache>
                <c:ptCount val="1"/>
                <c:pt idx="0">
                  <c:v>2x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[1]MaxCLOADvsSS!$A$2:$A$13</c:f>
              <c:numCache>
                <c:formatCode>General</c:formatCode>
                <c:ptCount val="12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120</c:v>
                </c:pt>
                <c:pt idx="11">
                  <c:v>140</c:v>
                </c:pt>
              </c:numCache>
            </c:numRef>
          </c:xVal>
          <c:yVal>
            <c:numRef>
              <c:f>[1]MaxCLOADvsSS!$C$2:$C$13</c:f>
              <c:numCache>
                <c:formatCode>General</c:formatCode>
                <c:ptCount val="12"/>
                <c:pt idx="0">
                  <c:v>2.7</c:v>
                </c:pt>
                <c:pt idx="1">
                  <c:v>3.6</c:v>
                </c:pt>
                <c:pt idx="2">
                  <c:v>5.4</c:v>
                </c:pt>
                <c:pt idx="3">
                  <c:v>8.1</c:v>
                </c:pt>
                <c:pt idx="4">
                  <c:v>10.44</c:v>
                </c:pt>
                <c:pt idx="5">
                  <c:v>12.6</c:v>
                </c:pt>
                <c:pt idx="6">
                  <c:v>14.4</c:v>
                </c:pt>
                <c:pt idx="7">
                  <c:v>16.2</c:v>
                </c:pt>
                <c:pt idx="8">
                  <c:v>18</c:v>
                </c:pt>
                <c:pt idx="9">
                  <c:v>19.8</c:v>
                </c:pt>
                <c:pt idx="10">
                  <c:v>23.400000000000002</c:v>
                </c:pt>
                <c:pt idx="11">
                  <c:v>28.8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D44-487D-B1C8-44D47F060A46}"/>
            </c:ext>
          </c:extLst>
        </c:ser>
        <c:ser>
          <c:idx val="1"/>
          <c:order val="4"/>
          <c:tx>
            <c:strRef>
              <c:f>[1]MaxCLOADvsSS!$B$1</c:f>
              <c:strCache>
                <c:ptCount val="1"/>
                <c:pt idx="0">
                  <c:v>1x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[1]MaxCLOADvsSS!$A$2:$A$13</c:f>
              <c:numCache>
                <c:formatCode>General</c:formatCode>
                <c:ptCount val="12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  <c:pt idx="10">
                  <c:v>120</c:v>
                </c:pt>
                <c:pt idx="11">
                  <c:v>140</c:v>
                </c:pt>
              </c:numCache>
            </c:numRef>
          </c:xVal>
          <c:yVal>
            <c:numRef>
              <c:f>[1]MaxCLOADvsSS!$B$2:$B$13</c:f>
              <c:numCache>
                <c:formatCode>General</c:formatCode>
                <c:ptCount val="12"/>
                <c:pt idx="0">
                  <c:v>1.5</c:v>
                </c:pt>
                <c:pt idx="1">
                  <c:v>2</c:v>
                </c:pt>
                <c:pt idx="2">
                  <c:v>3</c:v>
                </c:pt>
                <c:pt idx="3">
                  <c:v>4.5</c:v>
                </c:pt>
                <c:pt idx="4">
                  <c:v>5.8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13</c:v>
                </c:pt>
                <c:pt idx="11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D44-487D-B1C8-44D47F060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9718472"/>
        <c:axId val="299717296"/>
      </c:scatterChart>
      <c:valAx>
        <c:axId val="299718472"/>
        <c:scaling>
          <c:orientation val="minMax"/>
          <c:max val="12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Soft Start Time (ms)</a:t>
                </a:r>
              </a:p>
            </c:rich>
          </c:tx>
          <c:layout>
            <c:manualLayout>
              <c:xMode val="edge"/>
              <c:yMode val="edge"/>
              <c:x val="0.41252508653809578"/>
              <c:y val="0.9428491994319557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99717296"/>
        <c:crossesAt val="0"/>
        <c:crossBetween val="midCat"/>
        <c:majorUnit val="10"/>
        <c:minorUnit val="5"/>
      </c:valAx>
      <c:valAx>
        <c:axId val="299717296"/>
        <c:scaling>
          <c:orientation val="minMax"/>
          <c:max val="70"/>
          <c:min val="0"/>
        </c:scaling>
        <c:delete val="0"/>
        <c:axPos val="l"/>
        <c:majorGridlines/>
        <c:minorGridlines>
          <c:spPr>
            <a:ln w="3175">
              <a:prstDash val="sysDot"/>
            </a:ln>
          </c:spPr>
        </c:minorGridlines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Max CLOAD (mF)</a:t>
                </a:r>
              </a:p>
            </c:rich>
          </c:tx>
          <c:layout>
            <c:manualLayout>
              <c:xMode val="edge"/>
              <c:yMode val="edge"/>
              <c:x val="1.0486819582334817E-2"/>
              <c:y val="0.3846140379615933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99718472"/>
        <c:crossesAt val="0"/>
        <c:crossBetween val="midCat"/>
        <c:majorUnit val="10"/>
        <c:minorUnit val="5"/>
      </c:valAx>
    </c:plotArea>
    <c:legend>
      <c:legendPos val="r"/>
      <c:layout>
        <c:manualLayout>
          <c:xMode val="edge"/>
          <c:yMode val="edge"/>
          <c:x val="0.90282119282193252"/>
          <c:y val="0.37371415804784203"/>
          <c:w val="7.3730999584178267E-2"/>
          <c:h val="0.23931071910446752"/>
        </c:manualLayout>
      </c:layout>
      <c:overlay val="1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204788</xdr:colOff>
      <xdr:row>75</xdr:row>
      <xdr:rowOff>50006</xdr:rowOff>
    </xdr:from>
    <xdr:to>
      <xdr:col>2</xdr:col>
      <xdr:colOff>689420</xdr:colOff>
      <xdr:row>76</xdr:row>
      <xdr:rowOff>164306</xdr:rowOff>
    </xdr:to>
    <xdr:sp macro="" textlink="">
      <xdr:nvSpPr>
        <xdr:cNvPr id="2" name="Down Arrow 1"/>
        <xdr:cNvSpPr/>
      </xdr:nvSpPr>
      <xdr:spPr>
        <a:xfrm>
          <a:off x="3181351" y="7479506"/>
          <a:ext cx="484632" cy="304800"/>
        </a:xfrm>
        <a:prstGeom prst="downArrow">
          <a:avLst/>
        </a:prstGeom>
        <a:solidFill>
          <a:srgbClr val="00B0F0"/>
        </a:solidFill>
        <a:ln>
          <a:solidFill>
            <a:schemeClr val="tx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173831</xdr:colOff>
      <xdr:row>75</xdr:row>
      <xdr:rowOff>50006</xdr:rowOff>
    </xdr:from>
    <xdr:to>
      <xdr:col>4</xdr:col>
      <xdr:colOff>658463</xdr:colOff>
      <xdr:row>76</xdr:row>
      <xdr:rowOff>164306</xdr:rowOff>
    </xdr:to>
    <xdr:sp macro="" textlink="">
      <xdr:nvSpPr>
        <xdr:cNvPr id="3" name="Down Arrow 2"/>
        <xdr:cNvSpPr/>
      </xdr:nvSpPr>
      <xdr:spPr>
        <a:xfrm>
          <a:off x="4591050" y="7479506"/>
          <a:ext cx="484632" cy="304800"/>
        </a:xfrm>
        <a:prstGeom prst="downArrow">
          <a:avLst/>
        </a:prstGeom>
        <a:solidFill>
          <a:srgbClr val="00B0F0"/>
        </a:solidFill>
        <a:ln>
          <a:solidFill>
            <a:schemeClr val="tx1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1531284</xdr:colOff>
      <xdr:row>0</xdr:row>
      <xdr:rowOff>1524000</xdr:rowOff>
    </xdr:to>
    <xdr:pic>
      <xdr:nvPicPr>
        <xdr:cNvPr id="10" name="Picture 9" descr="on_logo_jpg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1284" cy="1524000"/>
        </a:xfrm>
        <a:prstGeom prst="rect">
          <a:avLst/>
        </a:prstGeom>
      </xdr:spPr>
    </xdr:pic>
    <xdr:clientData/>
  </xdr:twoCellAnchor>
  <xdr:twoCellAnchor>
    <xdr:from>
      <xdr:col>2</xdr:col>
      <xdr:colOff>761018</xdr:colOff>
      <xdr:row>0</xdr:row>
      <xdr:rowOff>0</xdr:rowOff>
    </xdr:from>
    <xdr:to>
      <xdr:col>16</xdr:col>
      <xdr:colOff>220578</xdr:colOff>
      <xdr:row>0</xdr:row>
      <xdr:rowOff>1551334</xdr:rowOff>
    </xdr:to>
    <xdr:sp macro="" textlink="">
      <xdr:nvSpPr>
        <xdr:cNvPr id="11" name="TextBox 10"/>
        <xdr:cNvSpPr txBox="1"/>
      </xdr:nvSpPr>
      <xdr:spPr>
        <a:xfrm>
          <a:off x="3797112" y="0"/>
          <a:ext cx="8365435" cy="1551334"/>
        </a:xfrm>
        <a:prstGeom prst="rect">
          <a:avLst/>
        </a:prstGeom>
        <a:solidFill>
          <a:srgbClr val="00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endParaRPr lang="en-US" sz="1100"/>
        </a:p>
        <a:p>
          <a:pPr algn="ctr"/>
          <a:endParaRPr lang="en-US" sz="1100"/>
        </a:p>
        <a:p>
          <a:pPr algn="ctr"/>
          <a:r>
            <a:rPr lang="en-US" sz="2400" b="1">
              <a:latin typeface="Times New Roman" pitchFamily="18" charset="0"/>
              <a:cs typeface="Times New Roman" pitchFamily="18" charset="0"/>
            </a:rPr>
            <a:t>NCP81295 Design Aid Version </a:t>
          </a:r>
          <a:r>
            <a:rPr lang="en-US" altLang="zh-CN" sz="2400" b="1">
              <a:latin typeface="Times New Roman" pitchFamily="18" charset="0"/>
              <a:cs typeface="Times New Roman" pitchFamily="18" charset="0"/>
            </a:rPr>
            <a:t>1.6</a:t>
          </a:r>
          <a:endParaRPr lang="en-US" sz="2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76200</xdr:colOff>
      <xdr:row>1</xdr:row>
      <xdr:rowOff>76200</xdr:rowOff>
    </xdr:from>
    <xdr:to>
      <xdr:col>9</xdr:col>
      <xdr:colOff>565399</xdr:colOff>
      <xdr:row>34</xdr:row>
      <xdr:rowOff>40627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866900"/>
          <a:ext cx="8471149" cy="6250927"/>
        </a:xfrm>
        <a:prstGeom prst="rect">
          <a:avLst/>
        </a:prstGeom>
        <a:ln w="127000" cap="rnd">
          <a:solidFill>
            <a:srgbClr val="FFFFFF"/>
          </a:solidFill>
        </a:ln>
        <a:effectLst>
          <a:outerShdw blurRad="76200" dist="95250" dir="10500000" sx="97000" sy="23000" kx="900000" algn="br" rotWithShape="0">
            <a:srgbClr val="000000">
              <a:alpha val="20000"/>
            </a:srgbClr>
          </a:outerShdw>
        </a:effectLst>
        <a:scene3d>
          <a:camera prst="orthographicFront"/>
          <a:lightRig rig="twoPt" dir="t">
            <a:rot lat="0" lon="0" rev="7800000"/>
          </a:lightRig>
        </a:scene3d>
        <a:sp3d contourW="6350">
          <a:bevelT w="50800" h="16510"/>
          <a:contourClr>
            <a:srgbClr val="C0C0C0"/>
          </a:contourClr>
        </a:sp3d>
      </xdr:spPr>
    </xdr:pic>
    <xdr:clientData/>
  </xdr:twoCellAnchor>
  <xdr:twoCellAnchor>
    <xdr:from>
      <xdr:col>10</xdr:col>
      <xdr:colOff>0</xdr:colOff>
      <xdr:row>0</xdr:row>
      <xdr:rowOff>1790699</xdr:rowOff>
    </xdr:from>
    <xdr:to>
      <xdr:col>21</xdr:col>
      <xdr:colOff>590550</xdr:colOff>
      <xdr:row>34</xdr:row>
      <xdr:rowOff>95250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pplication/NCP81295_SS_Matrix_upd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_Matrix"/>
      <sheetName val="MaxCLOADvsSS"/>
    </sheetNames>
    <sheetDataSet>
      <sheetData sheetId="0"/>
      <sheetData sheetId="1">
        <row r="1">
          <cell r="B1" t="str">
            <v>1x</v>
          </cell>
          <cell r="C1" t="str">
            <v>2x</v>
          </cell>
          <cell r="D1" t="str">
            <v>3x</v>
          </cell>
          <cell r="E1" t="str">
            <v>4x</v>
          </cell>
        </row>
        <row r="2">
          <cell r="A2">
            <v>10</v>
          </cell>
          <cell r="B2">
            <v>1.5</v>
          </cell>
          <cell r="C2">
            <v>2.7</v>
          </cell>
          <cell r="D2">
            <v>4.05</v>
          </cell>
          <cell r="E2">
            <v>5.4</v>
          </cell>
          <cell r="F2">
            <v>8.1</v>
          </cell>
        </row>
        <row r="3">
          <cell r="A3">
            <v>20</v>
          </cell>
          <cell r="B3">
            <v>2</v>
          </cell>
          <cell r="C3">
            <v>3.6</v>
          </cell>
          <cell r="D3">
            <v>5.4</v>
          </cell>
          <cell r="E3">
            <v>7.2</v>
          </cell>
          <cell r="F3">
            <v>10.8</v>
          </cell>
        </row>
        <row r="4">
          <cell r="A4">
            <v>30</v>
          </cell>
          <cell r="B4">
            <v>3</v>
          </cell>
          <cell r="C4">
            <v>5.4</v>
          </cell>
          <cell r="D4">
            <v>8.1</v>
          </cell>
          <cell r="E4">
            <v>10.8</v>
          </cell>
          <cell r="F4">
            <v>16.2</v>
          </cell>
        </row>
        <row r="5">
          <cell r="A5">
            <v>40</v>
          </cell>
          <cell r="B5">
            <v>4.5</v>
          </cell>
          <cell r="C5">
            <v>8.1</v>
          </cell>
          <cell r="D5">
            <v>12.15</v>
          </cell>
          <cell r="E5">
            <v>16.2</v>
          </cell>
          <cell r="F5">
            <v>24.3</v>
          </cell>
        </row>
        <row r="6">
          <cell r="A6">
            <v>50</v>
          </cell>
          <cell r="B6">
            <v>5.8</v>
          </cell>
          <cell r="C6">
            <v>10.44</v>
          </cell>
          <cell r="D6">
            <v>15.659999999999998</v>
          </cell>
          <cell r="E6">
            <v>20.88</v>
          </cell>
          <cell r="F6">
            <v>31.319999999999997</v>
          </cell>
        </row>
        <row r="7">
          <cell r="A7">
            <v>60</v>
          </cell>
          <cell r="B7">
            <v>7</v>
          </cell>
          <cell r="C7">
            <v>12.6</v>
          </cell>
          <cell r="D7">
            <v>18.900000000000002</v>
          </cell>
          <cell r="E7">
            <v>25.2</v>
          </cell>
          <cell r="F7">
            <v>37.800000000000004</v>
          </cell>
        </row>
        <row r="8">
          <cell r="A8">
            <v>70</v>
          </cell>
          <cell r="B8">
            <v>8</v>
          </cell>
          <cell r="C8">
            <v>14.4</v>
          </cell>
          <cell r="D8">
            <v>21.6</v>
          </cell>
          <cell r="E8">
            <v>28.8</v>
          </cell>
          <cell r="F8">
            <v>43.2</v>
          </cell>
        </row>
        <row r="9">
          <cell r="A9">
            <v>80</v>
          </cell>
          <cell r="B9">
            <v>9</v>
          </cell>
          <cell r="C9">
            <v>16.2</v>
          </cell>
          <cell r="D9">
            <v>24.3</v>
          </cell>
          <cell r="E9">
            <v>32.4</v>
          </cell>
          <cell r="F9">
            <v>48.6</v>
          </cell>
        </row>
        <row r="10">
          <cell r="A10">
            <v>90</v>
          </cell>
          <cell r="B10">
            <v>10</v>
          </cell>
          <cell r="C10">
            <v>18</v>
          </cell>
          <cell r="D10">
            <v>27</v>
          </cell>
          <cell r="E10">
            <v>36</v>
          </cell>
          <cell r="F10">
            <v>54</v>
          </cell>
        </row>
        <row r="11">
          <cell r="A11">
            <v>100</v>
          </cell>
          <cell r="B11">
            <v>11</v>
          </cell>
          <cell r="C11">
            <v>19.8</v>
          </cell>
          <cell r="D11">
            <v>29.7</v>
          </cell>
          <cell r="E11">
            <v>39.6</v>
          </cell>
          <cell r="F11">
            <v>59.4</v>
          </cell>
        </row>
        <row r="12">
          <cell r="A12">
            <v>120</v>
          </cell>
          <cell r="B12">
            <v>13</v>
          </cell>
          <cell r="C12">
            <v>23.400000000000002</v>
          </cell>
          <cell r="D12">
            <v>35.1</v>
          </cell>
          <cell r="E12">
            <v>46.800000000000004</v>
          </cell>
          <cell r="F12">
            <v>70.2</v>
          </cell>
        </row>
        <row r="13">
          <cell r="A13">
            <v>140</v>
          </cell>
          <cell r="B13">
            <v>16</v>
          </cell>
          <cell r="C13">
            <v>28.8</v>
          </cell>
          <cell r="D13">
            <v>43.2</v>
          </cell>
          <cell r="E13">
            <v>57.6</v>
          </cell>
          <cell r="F13">
            <v>86.4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3"/>
  <sheetViews>
    <sheetView tabSelected="1" topLeftCell="C1" zoomScaleNormal="100" workbookViewId="0">
      <selection sqref="A1:U1"/>
    </sheetView>
  </sheetViews>
  <sheetFormatPr defaultRowHeight="15" x14ac:dyDescent="0.25"/>
  <cols>
    <col min="1" max="1" width="39.5703125" style="2" customWidth="1"/>
    <col min="2" max="2" width="10" style="2" bestFit="1" customWidth="1"/>
    <col min="3" max="3" width="12.5703125" style="2" customWidth="1"/>
    <col min="4" max="4" width="9.140625" style="2"/>
    <col min="5" max="5" width="11.85546875" style="2" customWidth="1"/>
    <col min="6" max="16384" width="9.140625" style="2"/>
  </cols>
  <sheetData>
    <row r="1" spans="1:21" ht="141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36" spans="1:16" ht="15.75" thickBot="1" x14ac:dyDescent="0.3"/>
    <row r="37" spans="1:16" ht="17.25" thickTop="1" thickBot="1" x14ac:dyDescent="0.3">
      <c r="A37" s="14" t="s">
        <v>22</v>
      </c>
      <c r="B37" s="22" t="s">
        <v>111</v>
      </c>
    </row>
    <row r="38" spans="1:16" ht="15.75" thickTop="1" x14ac:dyDescent="0.25">
      <c r="A38" s="6" t="s">
        <v>23</v>
      </c>
    </row>
    <row r="39" spans="1:16" x14ac:dyDescent="0.25">
      <c r="A39" s="5" t="s">
        <v>49</v>
      </c>
    </row>
    <row r="40" spans="1:16" x14ac:dyDescent="0.25">
      <c r="A40" s="13" t="s">
        <v>24</v>
      </c>
    </row>
    <row r="42" spans="1:16" ht="15.75" thickBot="1" x14ac:dyDescent="0.3">
      <c r="A42" s="1" t="s">
        <v>73</v>
      </c>
      <c r="C42" s="1" t="s">
        <v>76</v>
      </c>
      <c r="M42" s="1" t="s">
        <v>60</v>
      </c>
      <c r="N42" s="2" t="s">
        <v>61</v>
      </c>
      <c r="O42" s="2" t="s">
        <v>62</v>
      </c>
    </row>
    <row r="43" spans="1:16" ht="15.75" thickTop="1" x14ac:dyDescent="0.25">
      <c r="A43" s="2" t="s">
        <v>1</v>
      </c>
      <c r="B43" s="2" t="s">
        <v>0</v>
      </c>
      <c r="C43" s="15">
        <v>12</v>
      </c>
      <c r="D43" s="4" t="s">
        <v>13</v>
      </c>
      <c r="E43" s="4" t="s">
        <v>80</v>
      </c>
      <c r="M43" s="2" t="s">
        <v>87</v>
      </c>
      <c r="N43" s="5">
        <v>4.5</v>
      </c>
      <c r="O43" s="5">
        <v>16</v>
      </c>
      <c r="P43" s="2" t="s">
        <v>102</v>
      </c>
    </row>
    <row r="44" spans="1:16" x14ac:dyDescent="0.25">
      <c r="A44" s="2" t="s">
        <v>74</v>
      </c>
      <c r="B44" s="2" t="s">
        <v>2</v>
      </c>
      <c r="C44" s="16">
        <v>20</v>
      </c>
      <c r="D44" s="4" t="s">
        <v>14</v>
      </c>
      <c r="E44" s="4" t="s">
        <v>81</v>
      </c>
      <c r="M44" s="2" t="s">
        <v>88</v>
      </c>
      <c r="N44" s="5">
        <v>10</v>
      </c>
      <c r="O44" s="5">
        <v>100</v>
      </c>
      <c r="P44" s="2" t="s">
        <v>102</v>
      </c>
    </row>
    <row r="45" spans="1:16" x14ac:dyDescent="0.25">
      <c r="A45" s="2" t="s">
        <v>3</v>
      </c>
      <c r="B45" s="2" t="s">
        <v>4</v>
      </c>
      <c r="C45" s="16">
        <v>120</v>
      </c>
      <c r="D45" s="4" t="s">
        <v>15</v>
      </c>
      <c r="E45" s="4" t="s">
        <v>82</v>
      </c>
      <c r="M45" s="2" t="s">
        <v>94</v>
      </c>
      <c r="N45" s="5">
        <v>0</v>
      </c>
      <c r="O45" s="5">
        <v>3</v>
      </c>
      <c r="P45" s="2" t="s">
        <v>102</v>
      </c>
    </row>
    <row r="46" spans="1:16" x14ac:dyDescent="0.25">
      <c r="A46" s="2" t="s">
        <v>59</v>
      </c>
      <c r="B46" s="2" t="s">
        <v>5</v>
      </c>
      <c r="C46" s="16">
        <v>1</v>
      </c>
      <c r="D46" s="4"/>
      <c r="E46" s="4" t="s">
        <v>83</v>
      </c>
      <c r="M46" s="2" t="s">
        <v>89</v>
      </c>
      <c r="N46" s="5">
        <v>0</v>
      </c>
      <c r="O46" s="5">
        <v>50</v>
      </c>
      <c r="P46" s="2" t="s">
        <v>102</v>
      </c>
    </row>
    <row r="47" spans="1:16" x14ac:dyDescent="0.25">
      <c r="A47" s="2" t="s">
        <v>63</v>
      </c>
      <c r="B47" s="2" t="s">
        <v>94</v>
      </c>
      <c r="C47" s="17">
        <v>1</v>
      </c>
      <c r="D47" s="4" t="s">
        <v>13</v>
      </c>
      <c r="E47" s="2" t="s">
        <v>109</v>
      </c>
      <c r="M47" s="2" t="s">
        <v>90</v>
      </c>
      <c r="N47" s="5">
        <v>0</v>
      </c>
      <c r="O47" s="5">
        <v>60</v>
      </c>
      <c r="P47" s="2" t="s">
        <v>102</v>
      </c>
    </row>
    <row r="48" spans="1:16" ht="15.75" thickBot="1" x14ac:dyDescent="0.3">
      <c r="A48" s="2" t="s">
        <v>70</v>
      </c>
      <c r="B48" s="2" t="s">
        <v>68</v>
      </c>
      <c r="C48" s="18">
        <v>1</v>
      </c>
      <c r="D48" s="4" t="s">
        <v>15</v>
      </c>
      <c r="E48" s="4" t="s">
        <v>110</v>
      </c>
      <c r="M48" s="2" t="s">
        <v>91</v>
      </c>
      <c r="N48" s="5">
        <v>0.2</v>
      </c>
      <c r="O48" s="5">
        <v>1.4</v>
      </c>
      <c r="P48" s="2" t="s">
        <v>102</v>
      </c>
    </row>
    <row r="49" spans="1:16" ht="15.75" thickTop="1" x14ac:dyDescent="0.25">
      <c r="C49" s="4"/>
      <c r="D49" s="4"/>
      <c r="M49" s="2" t="s">
        <v>92</v>
      </c>
      <c r="N49" s="5">
        <v>0.6</v>
      </c>
      <c r="O49" s="4"/>
      <c r="P49" s="2" t="s">
        <v>102</v>
      </c>
    </row>
    <row r="50" spans="1:16" x14ac:dyDescent="0.25">
      <c r="A50" s="1" t="s">
        <v>30</v>
      </c>
      <c r="C50" s="4"/>
      <c r="D50" s="4"/>
      <c r="M50" s="2" t="s">
        <v>93</v>
      </c>
      <c r="N50" s="5">
        <v>1.8</v>
      </c>
      <c r="O50" s="5">
        <v>4</v>
      </c>
      <c r="P50" s="2" t="s">
        <v>102</v>
      </c>
    </row>
    <row r="51" spans="1:16" x14ac:dyDescent="0.25">
      <c r="A51" s="3" t="s">
        <v>103</v>
      </c>
      <c r="B51" s="2" t="s">
        <v>31</v>
      </c>
      <c r="C51" s="9">
        <f>IMAX/COUNT</f>
        <v>20</v>
      </c>
      <c r="D51" s="4" t="s">
        <v>14</v>
      </c>
      <c r="E51" s="4" t="s">
        <v>84</v>
      </c>
    </row>
    <row r="52" spans="1:16" x14ac:dyDescent="0.25">
      <c r="A52" s="3" t="s">
        <v>42</v>
      </c>
      <c r="B52" s="2" t="s">
        <v>32</v>
      </c>
      <c r="C52" s="5">
        <v>5.2</v>
      </c>
      <c r="D52" s="4" t="s">
        <v>43</v>
      </c>
      <c r="E52" s="4" t="s">
        <v>51</v>
      </c>
    </row>
    <row r="53" spans="1:16" x14ac:dyDescent="0.25">
      <c r="A53" s="3" t="s">
        <v>38</v>
      </c>
      <c r="B53" s="2" t="s">
        <v>33</v>
      </c>
      <c r="C53" s="5">
        <v>10</v>
      </c>
      <c r="D53" s="4" t="s">
        <v>44</v>
      </c>
      <c r="E53" s="4" t="s">
        <v>51</v>
      </c>
    </row>
    <row r="54" spans="1:16" x14ac:dyDescent="0.25">
      <c r="A54" s="3" t="s">
        <v>39</v>
      </c>
      <c r="B54" s="2" t="s">
        <v>34</v>
      </c>
      <c r="C54" s="5">
        <v>10</v>
      </c>
      <c r="D54" s="4" t="s">
        <v>45</v>
      </c>
      <c r="E54" s="4" t="s">
        <v>51</v>
      </c>
    </row>
    <row r="55" spans="1:16" x14ac:dyDescent="0.25">
      <c r="A55" s="3" t="s">
        <v>40</v>
      </c>
      <c r="B55" s="2" t="s">
        <v>35</v>
      </c>
      <c r="C55" s="5">
        <v>10</v>
      </c>
      <c r="D55" s="4" t="s">
        <v>45</v>
      </c>
      <c r="E55" s="4" t="s">
        <v>51</v>
      </c>
    </row>
    <row r="56" spans="1:16" x14ac:dyDescent="0.25">
      <c r="A56" s="3" t="s">
        <v>41</v>
      </c>
      <c r="B56" s="2" t="s">
        <v>56</v>
      </c>
      <c r="C56" s="5">
        <v>10</v>
      </c>
      <c r="D56" s="4" t="s">
        <v>43</v>
      </c>
      <c r="E56" s="4" t="s">
        <v>51</v>
      </c>
    </row>
    <row r="57" spans="1:16" x14ac:dyDescent="0.25">
      <c r="A57" s="3" t="s">
        <v>47</v>
      </c>
      <c r="B57" s="2" t="s">
        <v>36</v>
      </c>
      <c r="C57" s="5">
        <v>100</v>
      </c>
      <c r="D57" s="4" t="s">
        <v>46</v>
      </c>
      <c r="E57" s="4" t="s">
        <v>51</v>
      </c>
    </row>
    <row r="58" spans="1:16" x14ac:dyDescent="0.25">
      <c r="A58" s="3" t="s">
        <v>48</v>
      </c>
      <c r="B58" s="2" t="s">
        <v>37</v>
      </c>
      <c r="C58" s="5">
        <v>86</v>
      </c>
      <c r="D58" s="4" t="s">
        <v>46</v>
      </c>
      <c r="E58" s="4" t="s">
        <v>51</v>
      </c>
    </row>
    <row r="59" spans="1:16" x14ac:dyDescent="0.25">
      <c r="A59" s="3" t="s">
        <v>67</v>
      </c>
      <c r="B59" s="2" t="s">
        <v>66</v>
      </c>
      <c r="C59" s="5">
        <v>5</v>
      </c>
      <c r="D59" s="4" t="s">
        <v>43</v>
      </c>
      <c r="E59" s="4" t="s">
        <v>51</v>
      </c>
    </row>
    <row r="60" spans="1:16" x14ac:dyDescent="0.25">
      <c r="A60" s="3" t="s">
        <v>71</v>
      </c>
      <c r="B60" s="2" t="s">
        <v>72</v>
      </c>
      <c r="C60" s="5">
        <v>1.4</v>
      </c>
      <c r="D60" s="4" t="s">
        <v>13</v>
      </c>
      <c r="E60" s="4" t="s">
        <v>51</v>
      </c>
    </row>
    <row r="61" spans="1:16" x14ac:dyDescent="0.25">
      <c r="C61" s="4"/>
      <c r="D61" s="4"/>
    </row>
    <row r="62" spans="1:16" x14ac:dyDescent="0.25">
      <c r="A62" s="1" t="s">
        <v>97</v>
      </c>
    </row>
    <row r="63" spans="1:16" x14ac:dyDescent="0.25">
      <c r="A63" s="2" t="s">
        <v>114</v>
      </c>
      <c r="B63" s="2" t="s">
        <v>9</v>
      </c>
      <c r="C63" s="5">
        <v>1</v>
      </c>
      <c r="D63" s="2" t="s">
        <v>58</v>
      </c>
      <c r="E63" s="2" t="s">
        <v>121</v>
      </c>
    </row>
    <row r="64" spans="1:16" x14ac:dyDescent="0.25">
      <c r="A64" s="2" t="s">
        <v>115</v>
      </c>
      <c r="B64" s="2" t="s">
        <v>8</v>
      </c>
      <c r="C64" s="5">
        <v>0.1</v>
      </c>
      <c r="D64" s="2" t="s">
        <v>12</v>
      </c>
      <c r="E64" s="2" t="s">
        <v>122</v>
      </c>
    </row>
    <row r="65" spans="1:7" x14ac:dyDescent="0.25">
      <c r="A65" s="2" t="s">
        <v>27</v>
      </c>
      <c r="B65" s="2" t="s">
        <v>6</v>
      </c>
      <c r="C65" s="5">
        <v>10</v>
      </c>
      <c r="D65" s="2" t="s">
        <v>57</v>
      </c>
      <c r="E65" s="2" t="s">
        <v>123</v>
      </c>
    </row>
    <row r="66" spans="1:7" x14ac:dyDescent="0.25">
      <c r="A66" s="2" t="s">
        <v>28</v>
      </c>
      <c r="B66" s="2" t="s">
        <v>7</v>
      </c>
      <c r="C66" s="5">
        <v>10</v>
      </c>
      <c r="D66" s="2" t="s">
        <v>57</v>
      </c>
      <c r="E66" s="2" t="s">
        <v>124</v>
      </c>
    </row>
    <row r="67" spans="1:7" x14ac:dyDescent="0.25">
      <c r="A67" s="2" t="s">
        <v>132</v>
      </c>
      <c r="B67" s="2" t="s">
        <v>99</v>
      </c>
      <c r="C67" s="5">
        <v>0.1</v>
      </c>
      <c r="D67" s="2" t="s">
        <v>12</v>
      </c>
      <c r="E67" s="2" t="s">
        <v>120</v>
      </c>
    </row>
    <row r="68" spans="1:7" ht="15.75" thickBot="1" x14ac:dyDescent="0.3">
      <c r="A68" s="2" t="s">
        <v>113</v>
      </c>
      <c r="B68" s="2" t="s">
        <v>10</v>
      </c>
      <c r="C68" s="5">
        <v>4.7</v>
      </c>
      <c r="D68" s="2" t="s">
        <v>12</v>
      </c>
      <c r="E68" s="2" t="s">
        <v>125</v>
      </c>
    </row>
    <row r="69" spans="1:7" ht="16.5" thickTop="1" thickBot="1" x14ac:dyDescent="0.3">
      <c r="A69" s="2" t="s">
        <v>112</v>
      </c>
      <c r="B69" s="2" t="s">
        <v>11</v>
      </c>
      <c r="C69" s="19">
        <v>2</v>
      </c>
      <c r="D69" s="2" t="s">
        <v>57</v>
      </c>
      <c r="E69" s="2" t="s">
        <v>126</v>
      </c>
    </row>
    <row r="70" spans="1:7" ht="15.75" thickTop="1" x14ac:dyDescent="0.25">
      <c r="C70" s="4"/>
    </row>
    <row r="71" spans="1:7" ht="15.75" thickBot="1" x14ac:dyDescent="0.3">
      <c r="A71" s="1" t="s">
        <v>98</v>
      </c>
      <c r="C71" s="1" t="s">
        <v>75</v>
      </c>
      <c r="E71" s="1" t="s">
        <v>76</v>
      </c>
      <c r="G71" s="2" t="s">
        <v>101</v>
      </c>
    </row>
    <row r="72" spans="1:7" ht="15.75" thickTop="1" x14ac:dyDescent="0.25">
      <c r="A72" s="2" t="s">
        <v>116</v>
      </c>
      <c r="B72" s="2" t="s">
        <v>16</v>
      </c>
      <c r="C72" s="7">
        <f>(TSS*ISS*AVSS)/VIN</f>
        <v>520</v>
      </c>
      <c r="D72" s="2" t="s">
        <v>21</v>
      </c>
      <c r="E72" s="20">
        <v>447</v>
      </c>
      <c r="F72" s="2" t="s">
        <v>21</v>
      </c>
      <c r="G72" s="2" t="s">
        <v>127</v>
      </c>
    </row>
    <row r="73" spans="1:7" x14ac:dyDescent="0.25">
      <c r="A73" s="2" t="s">
        <v>117</v>
      </c>
      <c r="B73" s="2" t="s">
        <v>17</v>
      </c>
      <c r="C73" s="10">
        <f>((IMAXC*ACS+5)*RCS+24)/(VOC_TH*ICLREF)*100</f>
        <v>50.465116279069768</v>
      </c>
      <c r="D73" s="2" t="s">
        <v>57</v>
      </c>
      <c r="E73" s="23">
        <v>52.3</v>
      </c>
      <c r="F73" s="2" t="s">
        <v>57</v>
      </c>
      <c r="G73" s="2" t="s">
        <v>130</v>
      </c>
    </row>
    <row r="74" spans="1:7" x14ac:dyDescent="0.25">
      <c r="A74" s="2" t="s">
        <v>118</v>
      </c>
      <c r="B74" s="2" t="s">
        <v>18</v>
      </c>
      <c r="C74" s="8">
        <f>VIMONX/(IMAXC*AIMON)*1000</f>
        <v>5</v>
      </c>
      <c r="D74" s="2" t="s">
        <v>57</v>
      </c>
      <c r="E74" s="21">
        <v>5</v>
      </c>
      <c r="F74" s="2" t="s">
        <v>57</v>
      </c>
      <c r="G74" s="2" t="s">
        <v>128</v>
      </c>
    </row>
    <row r="75" spans="1:7" ht="15.75" thickBot="1" x14ac:dyDescent="0.3">
      <c r="A75" s="2" t="s">
        <v>119</v>
      </c>
      <c r="B75" s="2" t="s">
        <v>65</v>
      </c>
      <c r="C75" s="9">
        <f>(TON-1)*ION/VSWON</f>
        <v>0</v>
      </c>
      <c r="D75" s="2" t="s">
        <v>21</v>
      </c>
      <c r="E75" s="18">
        <v>0</v>
      </c>
      <c r="F75" s="2" t="s">
        <v>21</v>
      </c>
      <c r="G75" s="2" t="s">
        <v>129</v>
      </c>
    </row>
    <row r="76" spans="1:7" ht="15.75" thickTop="1" x14ac:dyDescent="0.25">
      <c r="C76" s="4"/>
      <c r="E76" s="4"/>
      <c r="G76" s="2" t="s">
        <v>131</v>
      </c>
    </row>
    <row r="77" spans="1:7" x14ac:dyDescent="0.25">
      <c r="A77" s="1" t="s">
        <v>19</v>
      </c>
    </row>
    <row r="78" spans="1:7" x14ac:dyDescent="0.25">
      <c r="A78" s="3" t="s">
        <v>104</v>
      </c>
      <c r="B78" s="2" t="s">
        <v>52</v>
      </c>
      <c r="C78" s="8">
        <f>RCLREF*ICLREF/1000</f>
        <v>0.50465116279069766</v>
      </c>
      <c r="D78" s="2" t="s">
        <v>13</v>
      </c>
      <c r="E78" s="8">
        <f>RCLREF_US*ICLREF/1000</f>
        <v>0.52300000000000002</v>
      </c>
      <c r="F78" s="2" t="s">
        <v>13</v>
      </c>
      <c r="G78" s="4" t="s">
        <v>77</v>
      </c>
    </row>
    <row r="79" spans="1:7" x14ac:dyDescent="0.25">
      <c r="A79" s="2" t="s">
        <v>54</v>
      </c>
      <c r="B79" s="2" t="s">
        <v>53</v>
      </c>
      <c r="C79" s="9">
        <f>RIMON*AIMON/COUNT</f>
        <v>50</v>
      </c>
      <c r="D79" s="2" t="s">
        <v>50</v>
      </c>
      <c r="E79" s="9">
        <f>RIMON_US*AIMON/COUNT</f>
        <v>50</v>
      </c>
      <c r="F79" s="2" t="s">
        <v>50</v>
      </c>
      <c r="G79" s="11" t="s">
        <v>146</v>
      </c>
    </row>
    <row r="80" spans="1:7" x14ac:dyDescent="0.25">
      <c r="A80" s="2" t="s">
        <v>29</v>
      </c>
      <c r="B80" s="2" t="s">
        <v>20</v>
      </c>
      <c r="C80" s="9">
        <f>CSS*VIN/(ISS*AVSS)</f>
        <v>120</v>
      </c>
      <c r="D80" s="2" t="s">
        <v>15</v>
      </c>
      <c r="E80" s="9">
        <f>CSS_US*VIN/(ISS*AVSS)</f>
        <v>103.15384615384616</v>
      </c>
      <c r="F80" s="2" t="s">
        <v>15</v>
      </c>
      <c r="G80" s="4"/>
    </row>
    <row r="81" spans="1:7" x14ac:dyDescent="0.25">
      <c r="A81" s="2" t="s">
        <v>105</v>
      </c>
      <c r="B81" s="2" t="s">
        <v>25</v>
      </c>
      <c r="C81" s="9">
        <f>((RCLREF*ICLREF*VCL_TH/100-24)/RCS-5)/ACS*COUNT</f>
        <v>23.532558139534885</v>
      </c>
      <c r="D81" s="2" t="s">
        <v>14</v>
      </c>
      <c r="E81" s="9">
        <f>((RCLREF_US*ICLREF*VCL_TH/100-24)/RCS-5)/ACS*COUNT</f>
        <v>24.45</v>
      </c>
      <c r="F81" s="2" t="s">
        <v>14</v>
      </c>
      <c r="G81" s="11" t="s">
        <v>100</v>
      </c>
    </row>
    <row r="82" spans="1:7" x14ac:dyDescent="0.25">
      <c r="A82" s="2" t="s">
        <v>106</v>
      </c>
      <c r="B82" s="2" t="s">
        <v>86</v>
      </c>
      <c r="C82" s="9">
        <f>IOCP/COUNT</f>
        <v>23.532558139534885</v>
      </c>
      <c r="D82" s="2" t="s">
        <v>14</v>
      </c>
      <c r="E82" s="9">
        <f>IOCP_US/COUNT</f>
        <v>24.45</v>
      </c>
      <c r="F82" s="2" t="s">
        <v>14</v>
      </c>
      <c r="G82" s="4"/>
    </row>
    <row r="83" spans="1:7" x14ac:dyDescent="0.25">
      <c r="A83" s="2" t="s">
        <v>107</v>
      </c>
      <c r="B83" s="2" t="s">
        <v>26</v>
      </c>
      <c r="C83" s="9">
        <f>((RCLREF*ICLREF*VOC_TH/100-24)/RCS-5)/ACS*COUNT</f>
        <v>20</v>
      </c>
      <c r="D83" s="2" t="s">
        <v>14</v>
      </c>
      <c r="E83" s="9">
        <f>((RCLREF_US*ICLREF*VOC_TH/100-24)/RCS-5)/ACS*COUNT</f>
        <v>20.788999999999998</v>
      </c>
      <c r="F83" s="2" t="s">
        <v>14</v>
      </c>
      <c r="G83" s="11" t="s">
        <v>100</v>
      </c>
    </row>
    <row r="84" spans="1:7" x14ac:dyDescent="0.25">
      <c r="A84" s="2" t="s">
        <v>108</v>
      </c>
      <c r="B84" s="2" t="s">
        <v>85</v>
      </c>
      <c r="C84" s="9">
        <f>IDOC/COUNT</f>
        <v>20</v>
      </c>
      <c r="D84" s="2" t="s">
        <v>14</v>
      </c>
      <c r="E84" s="9">
        <f>IDOC_US/COUNT</f>
        <v>20.788999999999998</v>
      </c>
      <c r="F84" s="2" t="s">
        <v>14</v>
      </c>
    </row>
    <row r="85" spans="1:7" x14ac:dyDescent="0.25">
      <c r="A85" s="2" t="s">
        <v>55</v>
      </c>
      <c r="B85" s="2" t="s">
        <v>95</v>
      </c>
      <c r="C85" s="10">
        <f>GIMON*IDOC/1000</f>
        <v>1</v>
      </c>
      <c r="D85" s="2" t="s">
        <v>13</v>
      </c>
      <c r="E85" s="10">
        <f>GIMON_US*IDOC_US/1000</f>
        <v>1.0394499999999998</v>
      </c>
      <c r="F85" s="2" t="s">
        <v>13</v>
      </c>
      <c r="G85" s="12" t="s">
        <v>78</v>
      </c>
    </row>
    <row r="86" spans="1:7" x14ac:dyDescent="0.25">
      <c r="A86" s="2" t="s">
        <v>64</v>
      </c>
      <c r="B86" s="2" t="s">
        <v>96</v>
      </c>
      <c r="C86" s="10">
        <f>GIMON*IOCP/1000</f>
        <v>1.1766279069767442</v>
      </c>
      <c r="D86" s="2" t="s">
        <v>13</v>
      </c>
      <c r="E86" s="10">
        <f>GIMON_US*IOCP_US/1000</f>
        <v>1.2224999999999999</v>
      </c>
      <c r="F86" s="2" t="s">
        <v>13</v>
      </c>
      <c r="G86" s="12" t="s">
        <v>79</v>
      </c>
    </row>
    <row r="87" spans="1:7" x14ac:dyDescent="0.25">
      <c r="A87" s="2" t="s">
        <v>70</v>
      </c>
      <c r="B87" s="2" t="s">
        <v>68</v>
      </c>
      <c r="C87" s="9">
        <f>(CON*VSWON/ION)+1</f>
        <v>1</v>
      </c>
      <c r="D87" s="2" t="s">
        <v>15</v>
      </c>
      <c r="E87" s="9">
        <f>(CON_US*VSWON/ION)+1</f>
        <v>1</v>
      </c>
      <c r="F87" s="2" t="s">
        <v>15</v>
      </c>
      <c r="G87" s="4" t="s">
        <v>69</v>
      </c>
    </row>
    <row r="88" spans="1:7" x14ac:dyDescent="0.25">
      <c r="C88" s="11"/>
      <c r="E88" s="11"/>
      <c r="G88" s="4"/>
    </row>
    <row r="89" spans="1:7" x14ac:dyDescent="0.25">
      <c r="A89" s="1" t="s">
        <v>133</v>
      </c>
      <c r="E89" s="11"/>
      <c r="G89" s="4"/>
    </row>
    <row r="90" spans="1:7" x14ac:dyDescent="0.25">
      <c r="A90" s="2" t="s">
        <v>134</v>
      </c>
      <c r="B90" s="2" t="s">
        <v>142</v>
      </c>
      <c r="C90" s="7">
        <f>CSS*COUNT</f>
        <v>520</v>
      </c>
      <c r="D90" s="2" t="s">
        <v>21</v>
      </c>
      <c r="E90" s="7">
        <f>CSS_US*COUNT</f>
        <v>447</v>
      </c>
      <c r="F90" s="2" t="s">
        <v>21</v>
      </c>
      <c r="G90" s="4" t="s">
        <v>135</v>
      </c>
    </row>
    <row r="91" spans="1:7" x14ac:dyDescent="0.25">
      <c r="A91" s="3" t="s">
        <v>140</v>
      </c>
      <c r="B91" s="2" t="s">
        <v>143</v>
      </c>
      <c r="C91" s="10">
        <f>RCLREF/COUNT</f>
        <v>50.465116279069768</v>
      </c>
      <c r="D91" s="2" t="s">
        <v>57</v>
      </c>
      <c r="E91" s="10">
        <f>RCLREF_US/COUNT</f>
        <v>52.3</v>
      </c>
      <c r="F91" s="2" t="s">
        <v>57</v>
      </c>
      <c r="G91" s="4" t="s">
        <v>136</v>
      </c>
    </row>
    <row r="92" spans="1:7" x14ac:dyDescent="0.25">
      <c r="A92" s="2" t="s">
        <v>138</v>
      </c>
      <c r="B92" s="2" t="s">
        <v>144</v>
      </c>
      <c r="C92" s="8">
        <f>RIMON/COUNT</f>
        <v>5</v>
      </c>
      <c r="D92" s="2" t="s">
        <v>57</v>
      </c>
      <c r="E92" s="8">
        <f>RIMON_US/COUNT</f>
        <v>5</v>
      </c>
      <c r="F92" s="2" t="s">
        <v>57</v>
      </c>
      <c r="G92" s="4" t="s">
        <v>137</v>
      </c>
    </row>
    <row r="93" spans="1:7" x14ac:dyDescent="0.25">
      <c r="A93" s="3" t="s">
        <v>139</v>
      </c>
      <c r="B93" s="2" t="s">
        <v>145</v>
      </c>
      <c r="C93" s="9">
        <f>CON*COUNT</f>
        <v>0</v>
      </c>
      <c r="D93" s="2" t="s">
        <v>21</v>
      </c>
      <c r="E93" s="9">
        <f>CON_US*COUNT</f>
        <v>0</v>
      </c>
      <c r="F93" s="2" t="s">
        <v>21</v>
      </c>
      <c r="G93" s="4" t="s">
        <v>141</v>
      </c>
    </row>
  </sheetData>
  <customSheetViews>
    <customSheetView guid="{64D58C90-34C7-435C-AAC0-C09AFC76F6E4}">
      <selection activeCell="C33" sqref="C33"/>
      <pageMargins left="0.7" right="0.7" top="0.75" bottom="0.75" header="0.3" footer="0.3"/>
      <pageSetup orientation="portrait" r:id="rId1"/>
    </customSheetView>
  </customSheetViews>
  <mergeCells count="1">
    <mergeCell ref="A1:U1"/>
  </mergeCells>
  <conditionalFormatting sqref="C43">
    <cfRule type="cellIs" dxfId="13" priority="19" operator="notBetween">
      <formula>$N$43</formula>
      <formula>$O$43</formula>
    </cfRule>
  </conditionalFormatting>
  <conditionalFormatting sqref="C51">
    <cfRule type="cellIs" dxfId="12" priority="18" operator="greaterThan">
      <formula>$O$46</formula>
    </cfRule>
  </conditionalFormatting>
  <conditionalFormatting sqref="C80">
    <cfRule type="cellIs" dxfId="11" priority="13" operator="notBetween">
      <formula>$N$44</formula>
      <formula>$O$44</formula>
    </cfRule>
  </conditionalFormatting>
  <conditionalFormatting sqref="E80">
    <cfRule type="cellIs" dxfId="10" priority="12" operator="notBetween">
      <formula>$N$44</formula>
      <formula>$O$44</formula>
    </cfRule>
  </conditionalFormatting>
  <conditionalFormatting sqref="C86">
    <cfRule type="cellIs" dxfId="9" priority="9" operator="greaterThan">
      <formula>$O$45</formula>
    </cfRule>
  </conditionalFormatting>
  <conditionalFormatting sqref="E86">
    <cfRule type="cellIs" dxfId="8" priority="8" operator="greaterThan">
      <formula>$O$45</formula>
    </cfRule>
  </conditionalFormatting>
  <conditionalFormatting sqref="C45">
    <cfRule type="cellIs" dxfId="7" priority="5" operator="notBetween">
      <formula>$N$44</formula>
      <formula>$O$44</formula>
    </cfRule>
  </conditionalFormatting>
  <conditionalFormatting sqref="C48">
    <cfRule type="cellIs" dxfId="6" priority="20" operator="lessThan">
      <formula>$N$49</formula>
    </cfRule>
  </conditionalFormatting>
  <conditionalFormatting sqref="C78 E78">
    <cfRule type="cellIs" dxfId="5" priority="21" operator="notBetween">
      <formula>$N$48</formula>
      <formula>$O$48</formula>
    </cfRule>
  </conditionalFormatting>
  <conditionalFormatting sqref="C69">
    <cfRule type="cellIs" dxfId="4" priority="23" operator="notBetween">
      <formula>$N$50</formula>
      <formula>$O$50</formula>
    </cfRule>
  </conditionalFormatting>
  <conditionalFormatting sqref="C82">
    <cfRule type="cellIs" dxfId="3" priority="4" operator="greaterThan">
      <formula>$O$47</formula>
    </cfRule>
  </conditionalFormatting>
  <conditionalFormatting sqref="E82">
    <cfRule type="cellIs" dxfId="2" priority="3" operator="greaterThan">
      <formula>$O$47</formula>
    </cfRule>
  </conditionalFormatting>
  <conditionalFormatting sqref="C84">
    <cfRule type="cellIs" dxfId="1" priority="2" operator="greaterThan">
      <formula>$O$46</formula>
    </cfRule>
  </conditionalFormatting>
  <conditionalFormatting sqref="E84">
    <cfRule type="cellIs" dxfId="0" priority="1" operator="greaterThan">
      <formula>$O$46</formula>
    </cfRule>
  </conditionalFormatting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39</vt:i4>
      </vt:variant>
    </vt:vector>
  </HeadingPairs>
  <TitlesOfParts>
    <vt:vector size="40" baseType="lpstr">
      <vt:lpstr>NCP81295 Design Tool</vt:lpstr>
      <vt:lpstr>ACS</vt:lpstr>
      <vt:lpstr>AIMON</vt:lpstr>
      <vt:lpstr>AVSS</vt:lpstr>
      <vt:lpstr>CON</vt:lpstr>
      <vt:lpstr>CON_US</vt:lpstr>
      <vt:lpstr>COUNT</vt:lpstr>
      <vt:lpstr>CSS</vt:lpstr>
      <vt:lpstr>CSS_US</vt:lpstr>
      <vt:lpstr>CTEMP</vt:lpstr>
      <vt:lpstr>CVDD</vt:lpstr>
      <vt:lpstr>CVINF</vt:lpstr>
      <vt:lpstr>GIMON</vt:lpstr>
      <vt:lpstr>GIMON_US</vt:lpstr>
      <vt:lpstr>ICLREF</vt:lpstr>
      <vt:lpstr>IDOC</vt:lpstr>
      <vt:lpstr>IDOC_US</vt:lpstr>
      <vt:lpstr>IMAX</vt:lpstr>
      <vt:lpstr>IMAXC</vt:lpstr>
      <vt:lpstr>IOCP</vt:lpstr>
      <vt:lpstr>IOCP_US</vt:lpstr>
      <vt:lpstr>ION</vt:lpstr>
      <vt:lpstr>ISS</vt:lpstr>
      <vt:lpstr>RCLREF</vt:lpstr>
      <vt:lpstr>RCLREF_US</vt:lpstr>
      <vt:lpstr>RCS</vt:lpstr>
      <vt:lpstr>RDOC</vt:lpstr>
      <vt:lpstr>RGOK</vt:lpstr>
      <vt:lpstr>RIMON</vt:lpstr>
      <vt:lpstr>RIMON_US</vt:lpstr>
      <vt:lpstr>RVINF</vt:lpstr>
      <vt:lpstr>TON</vt:lpstr>
      <vt:lpstr>TSS</vt:lpstr>
      <vt:lpstr>VCL_TH</vt:lpstr>
      <vt:lpstr>VIMONX</vt:lpstr>
      <vt:lpstr>VIMONX1</vt:lpstr>
      <vt:lpstr>VIMONX2</vt:lpstr>
      <vt:lpstr>VIN</vt:lpstr>
      <vt:lpstr>VOC_TH</vt:lpstr>
      <vt:lpstr>VSWON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Bartholomeusz</dc:creator>
  <cp:lastModifiedBy>Wen Jing Zhang</cp:lastModifiedBy>
  <dcterms:created xsi:type="dcterms:W3CDTF">2017-02-07T23:32:34Z</dcterms:created>
  <dcterms:modified xsi:type="dcterms:W3CDTF">2020-04-14T02:38:25Z</dcterms:modified>
</cp:coreProperties>
</file>